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M:\TOLEDOPREV\CALCULO ATUARIAL\Cálculo Atuarial 2024\Modelo de Viabilidade\"/>
    </mc:Choice>
  </mc:AlternateContent>
  <xr:revisionPtr revIDLastSave="0" documentId="13_ncr:1_{901209A8-125A-4243-96B3-AECE45FDBD9D}" xr6:coauthVersionLast="47" xr6:coauthVersionMax="47" xr10:uidLastSave="{00000000-0000-0000-0000-000000000000}"/>
  <bookViews>
    <workbookView xWindow="-120" yWindow="-120" windowWidth="24240" windowHeight="13140" tabRatio="673" activeTab="3" xr2:uid="{00000000-000D-0000-FFFF-FFFF00000000}"/>
  </bookViews>
  <sheets>
    <sheet name="Fluxo e Duração do Passivo" sheetId="11" r:id="rId1"/>
    <sheet name="Anexo 1 - Despesa com Pessoal " sheetId="7" r:id="rId2"/>
    <sheet name="01- Histórico" sheetId="8" r:id="rId3"/>
    <sheet name="02 - Projeções" sheetId="9" r:id="rId4"/>
    <sheet name="03 - Indicadores " sheetId="10" r:id="rId5"/>
  </sheets>
  <definedNames>
    <definedName name="\p">#N/A</definedName>
    <definedName name="\s">#N/A</definedName>
    <definedName name="_xlnm._FilterDatabase" localSheetId="4" hidden="1">'03 - Indicadores '!$A$8:$I$44</definedName>
    <definedName name="a">#REF!,#REF!</definedName>
    <definedName name="AREA">#N/A</definedName>
    <definedName name="_xlnm.Print_Area" localSheetId="2">'01- Histórico'!$A$16:$C$28</definedName>
    <definedName name="_xlnm.Print_Area" localSheetId="3">'02 - Projeções'!$A$6:$K$43</definedName>
    <definedName name="BALA">#N/A</definedName>
    <definedName name="e">#REF!,#REF!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3">#REF!,#REF!</definedName>
    <definedName name="Planilha_1ÁreaTotal" localSheetId="1">#REF!,#REF!</definedName>
    <definedName name="Planilha_1ÁreaTotal">#REF!,#REF!</definedName>
    <definedName name="Planilha_1CabGráfico" localSheetId="3">#REF!</definedName>
    <definedName name="Planilha_1CabGráfico" localSheetId="1">#REF!</definedName>
    <definedName name="Planilha_1CabGráfico">#REF!</definedName>
    <definedName name="Planilha_1TítCols" localSheetId="3">#REF!,#REF!</definedName>
    <definedName name="Planilha_1TítCols" localSheetId="1">#REF!,#REF!</definedName>
    <definedName name="Planilha_1TítCols">#REF!,#REF!</definedName>
    <definedName name="Planilha_1TítLins" localSheetId="3">#REF!</definedName>
    <definedName name="Planilha_1TítLins" localSheetId="1">#REF!</definedName>
    <definedName name="Planilha_1TítLins">#REF!</definedName>
    <definedName name="Planilha_2ÁreaTotal" localSheetId="3">#REF!,#REF!</definedName>
    <definedName name="Planilha_2ÁreaTotal" localSheetId="1">#REF!,#REF!</definedName>
    <definedName name="Planilha_2ÁreaTotal">#REF!,#REF!</definedName>
    <definedName name="Planilha_2CabGráfico" localSheetId="3">#REF!</definedName>
    <definedName name="Planilha_2CabGráfico" localSheetId="1">#REF!</definedName>
    <definedName name="Planilha_2CabGráfico">#REF!</definedName>
    <definedName name="Planilha_2TítCols" localSheetId="3">#REF!,#REF!</definedName>
    <definedName name="Planilha_2TítCols" localSheetId="1">#REF!,#REF!</definedName>
    <definedName name="Planilha_2TítCols">#REF!,#REF!</definedName>
    <definedName name="Planilha_2TítLins" localSheetId="3">#REF!</definedName>
    <definedName name="Planilha_2TítLins" localSheetId="1">#REF!</definedName>
    <definedName name="Planilha_2TítLins">#REF!</definedName>
    <definedName name="Planilha_3ÁreaTotal" localSheetId="3">#REF!,#REF!</definedName>
    <definedName name="Planilha_3ÁreaTotal" localSheetId="1">#REF!,#REF!</definedName>
    <definedName name="Planilha_3ÁreaTotal">#REF!,#REF!</definedName>
    <definedName name="Planilha_3CabGráfico" localSheetId="3">#REF!</definedName>
    <definedName name="Planilha_3CabGráfico" localSheetId="1">#REF!</definedName>
    <definedName name="Planilha_3CabGráfico">#REF!</definedName>
    <definedName name="Planilha_3TítCols" localSheetId="3">#REF!,#REF!</definedName>
    <definedName name="Planilha_3TítCols" localSheetId="1">#REF!,#REF!</definedName>
    <definedName name="Planilha_3TítCols">#REF!,#REF!</definedName>
    <definedName name="Planilha_3TítLins" localSheetId="3">#REF!</definedName>
    <definedName name="Planilha_3TítLins" localSheetId="1">#REF!</definedName>
    <definedName name="Planilha_3TítLins">#REF!</definedName>
    <definedName name="Planilha_4ÁreaTotal" localSheetId="3">#REF!,#REF!</definedName>
    <definedName name="Planilha_4ÁreaTotal" localSheetId="1">#REF!,#REF!</definedName>
    <definedName name="Planilha_4ÁreaTotal">#REF!,#REF!</definedName>
    <definedName name="Planilha_4TítCols" localSheetId="3">#REF!,#REF!</definedName>
    <definedName name="Planilha_4TítCols" localSheetId="1">#REF!,#REF!</definedName>
    <definedName name="Planilha_4TítCols">#REF!,#REF!</definedName>
    <definedName name="_xlnm.Print_Titles" localSheetId="2">'01- Histórico'!$16:$17</definedName>
    <definedName name="_xlnm.Print_Titles" localSheetId="3">'02 - Projeções'!$6:$7</definedName>
  </definedNames>
  <calcPr calcId="191029"/>
</workbook>
</file>

<file path=xl/calcChain.xml><?xml version="1.0" encoding="utf-8"?>
<calcChain xmlns="http://schemas.openxmlformats.org/spreadsheetml/2006/main">
  <c r="D10" i="9" l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9" i="9"/>
  <c r="F151" i="11"/>
  <c r="F152" i="11"/>
  <c r="F153" i="11"/>
  <c r="F154" i="11"/>
  <c r="F155" i="11"/>
  <c r="F156" i="11"/>
  <c r="F157" i="11"/>
  <c r="F15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AO161" i="11"/>
  <c r="AO160" i="11"/>
  <c r="B11" i="8" l="1"/>
  <c r="I18" i="8" l="1"/>
  <c r="F18" i="8"/>
  <c r="F7" i="7" l="1"/>
  <c r="F3" i="7"/>
  <c r="C3" i="10"/>
  <c r="H8" i="9" l="1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G5" i="9" l="1"/>
  <c r="C4" i="10" l="1"/>
  <c r="C5" i="10"/>
  <c r="C6" i="10"/>
  <c r="B3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I8" i="9"/>
  <c r="E8" i="9"/>
  <c r="BI160" i="11"/>
  <c r="BH160" i="11"/>
  <c r="BG160" i="11"/>
  <c r="BF160" i="11"/>
  <c r="BE160" i="11"/>
  <c r="BD160" i="11"/>
  <c r="BC160" i="11"/>
  <c r="BB160" i="11"/>
  <c r="BA160" i="11"/>
  <c r="AY160" i="11"/>
  <c r="AX160" i="11"/>
  <c r="AW160" i="11"/>
  <c r="AV160" i="11"/>
  <c r="AU160" i="11"/>
  <c r="AT160" i="11"/>
  <c r="AQ160" i="11"/>
  <c r="AP160" i="11"/>
  <c r="AN160" i="11"/>
  <c r="AM160" i="11"/>
  <c r="AL160" i="11"/>
  <c r="AK160" i="11"/>
  <c r="AJ160" i="11"/>
  <c r="AI160" i="11"/>
  <c r="AG160" i="11"/>
  <c r="AF160" i="11"/>
  <c r="AE160" i="11"/>
  <c r="AD160" i="11"/>
  <c r="AB160" i="11"/>
  <c r="AA160" i="11"/>
  <c r="Z160" i="11"/>
  <c r="Y160" i="11"/>
  <c r="X160" i="11"/>
  <c r="W160" i="11"/>
  <c r="V160" i="11"/>
  <c r="T160" i="11"/>
  <c r="S160" i="11"/>
  <c r="R160" i="11"/>
  <c r="Q160" i="11"/>
  <c r="P160" i="11"/>
  <c r="O160" i="11"/>
  <c r="N160" i="11"/>
  <c r="L160" i="11"/>
  <c r="K160" i="11"/>
  <c r="J160" i="11"/>
  <c r="I160" i="11"/>
  <c r="H160" i="11"/>
  <c r="G160" i="11"/>
  <c r="E160" i="11"/>
  <c r="BM159" i="11"/>
  <c r="AZ159" i="11"/>
  <c r="AS159" i="11"/>
  <c r="AH159" i="11"/>
  <c r="AC159" i="11"/>
  <c r="U159" i="11"/>
  <c r="M159" i="11"/>
  <c r="F159" i="11"/>
  <c r="BM158" i="11"/>
  <c r="AZ158" i="11"/>
  <c r="AS158" i="11"/>
  <c r="AH158" i="11"/>
  <c r="AC158" i="11"/>
  <c r="U158" i="11"/>
  <c r="M158" i="11"/>
  <c r="BM157" i="11"/>
  <c r="AZ157" i="11"/>
  <c r="AS157" i="11"/>
  <c r="AH157" i="11"/>
  <c r="AC157" i="11"/>
  <c r="U157" i="11"/>
  <c r="M157" i="11"/>
  <c r="BM156" i="11"/>
  <c r="AZ156" i="11"/>
  <c r="AS156" i="11"/>
  <c r="AH156" i="11"/>
  <c r="AC156" i="11"/>
  <c r="U156" i="11"/>
  <c r="M156" i="11"/>
  <c r="BM155" i="11"/>
  <c r="AZ155" i="11"/>
  <c r="AS155" i="11"/>
  <c r="AH155" i="11"/>
  <c r="AC155" i="11"/>
  <c r="U155" i="11"/>
  <c r="M155" i="11"/>
  <c r="BM154" i="11"/>
  <c r="AZ154" i="11"/>
  <c r="AS154" i="11"/>
  <c r="AH154" i="11"/>
  <c r="AC154" i="11"/>
  <c r="U154" i="11"/>
  <c r="M154" i="11"/>
  <c r="BM153" i="11"/>
  <c r="AZ153" i="11"/>
  <c r="AS153" i="11"/>
  <c r="AH153" i="11"/>
  <c r="AC153" i="11"/>
  <c r="U153" i="11"/>
  <c r="M153" i="11"/>
  <c r="BM152" i="11"/>
  <c r="AZ152" i="11"/>
  <c r="AS152" i="11"/>
  <c r="AH152" i="11"/>
  <c r="AC152" i="11"/>
  <c r="U152" i="11"/>
  <c r="M152" i="11"/>
  <c r="BM151" i="11"/>
  <c r="AZ151" i="11"/>
  <c r="AS151" i="11"/>
  <c r="AH151" i="11"/>
  <c r="AC151" i="11"/>
  <c r="U151" i="11"/>
  <c r="M151" i="11"/>
  <c r="BM150" i="11"/>
  <c r="AZ150" i="11"/>
  <c r="AS150" i="11"/>
  <c r="AH150" i="11"/>
  <c r="AC150" i="11"/>
  <c r="U150" i="11"/>
  <c r="M150" i="11"/>
  <c r="BM149" i="11"/>
  <c r="AZ149" i="11"/>
  <c r="AS149" i="11"/>
  <c r="AH149" i="11"/>
  <c r="AC149" i="11"/>
  <c r="U149" i="11"/>
  <c r="M149" i="11"/>
  <c r="BM148" i="11"/>
  <c r="AZ148" i="11"/>
  <c r="AS148" i="11"/>
  <c r="AH148" i="11"/>
  <c r="AC148" i="11"/>
  <c r="U148" i="11"/>
  <c r="M148" i="11"/>
  <c r="BM147" i="11"/>
  <c r="AZ147" i="11"/>
  <c r="AS147" i="11"/>
  <c r="AH147" i="11"/>
  <c r="AC147" i="11"/>
  <c r="U147" i="11"/>
  <c r="M147" i="11"/>
  <c r="BM146" i="11"/>
  <c r="AZ146" i="11"/>
  <c r="AS146" i="11"/>
  <c r="AH146" i="11"/>
  <c r="AC146" i="11"/>
  <c r="U146" i="11"/>
  <c r="M146" i="11"/>
  <c r="BM145" i="11"/>
  <c r="AZ145" i="11"/>
  <c r="AS145" i="11"/>
  <c r="AH145" i="11"/>
  <c r="AC145" i="11"/>
  <c r="U145" i="11"/>
  <c r="M145" i="11"/>
  <c r="BM144" i="11"/>
  <c r="AZ144" i="11"/>
  <c r="AS144" i="11"/>
  <c r="AH144" i="11"/>
  <c r="AC144" i="11"/>
  <c r="U144" i="11"/>
  <c r="M144" i="11"/>
  <c r="BM143" i="11"/>
  <c r="AZ143" i="11"/>
  <c r="AS143" i="11"/>
  <c r="AH143" i="11"/>
  <c r="AC143" i="11"/>
  <c r="U143" i="11"/>
  <c r="M143" i="11"/>
  <c r="BM142" i="11"/>
  <c r="AZ142" i="11"/>
  <c r="AS142" i="11"/>
  <c r="AH142" i="11"/>
  <c r="AC142" i="11"/>
  <c r="U142" i="11"/>
  <c r="M142" i="11"/>
  <c r="BM141" i="11"/>
  <c r="AZ141" i="11"/>
  <c r="AS141" i="11"/>
  <c r="AH141" i="11"/>
  <c r="AC141" i="11"/>
  <c r="U141" i="11"/>
  <c r="M141" i="11"/>
  <c r="BM140" i="11"/>
  <c r="AZ140" i="11"/>
  <c r="AS140" i="11"/>
  <c r="AH140" i="11"/>
  <c r="AC140" i="11"/>
  <c r="U140" i="11"/>
  <c r="M140" i="11"/>
  <c r="BM139" i="11"/>
  <c r="AZ139" i="11"/>
  <c r="AS139" i="11"/>
  <c r="AH139" i="11"/>
  <c r="AC139" i="11"/>
  <c r="U139" i="11"/>
  <c r="M139" i="11"/>
  <c r="BM138" i="11"/>
  <c r="AZ138" i="11"/>
  <c r="AS138" i="11"/>
  <c r="AH138" i="11"/>
  <c r="AC138" i="11"/>
  <c r="U138" i="11"/>
  <c r="M138" i="11"/>
  <c r="F138" i="11"/>
  <c r="BM137" i="11"/>
  <c r="AZ137" i="11"/>
  <c r="AS137" i="11"/>
  <c r="AH137" i="11"/>
  <c r="AC137" i="11"/>
  <c r="U137" i="11"/>
  <c r="M137" i="11"/>
  <c r="F137" i="11"/>
  <c r="BM136" i="11"/>
  <c r="AZ136" i="11"/>
  <c r="AS136" i="11"/>
  <c r="AH136" i="11"/>
  <c r="AC136" i="11"/>
  <c r="U136" i="11"/>
  <c r="M136" i="11"/>
  <c r="F136" i="11"/>
  <c r="BM135" i="11"/>
  <c r="AZ135" i="11"/>
  <c r="AS135" i="11"/>
  <c r="AH135" i="11"/>
  <c r="AC135" i="11"/>
  <c r="U135" i="11"/>
  <c r="M135" i="11"/>
  <c r="F135" i="11"/>
  <c r="BM134" i="11"/>
  <c r="AZ134" i="11"/>
  <c r="AS134" i="11"/>
  <c r="AH134" i="11"/>
  <c r="AC134" i="11"/>
  <c r="U134" i="11"/>
  <c r="M134" i="11"/>
  <c r="F134" i="11"/>
  <c r="BM133" i="11"/>
  <c r="AZ133" i="11"/>
  <c r="AS133" i="11"/>
  <c r="AH133" i="11"/>
  <c r="AC133" i="11"/>
  <c r="U133" i="11"/>
  <c r="M133" i="11"/>
  <c r="F133" i="11"/>
  <c r="BM132" i="11"/>
  <c r="AZ132" i="11"/>
  <c r="AS132" i="11"/>
  <c r="AH132" i="11"/>
  <c r="AC132" i="11"/>
  <c r="U132" i="11"/>
  <c r="M132" i="11"/>
  <c r="F132" i="11"/>
  <c r="BM131" i="11"/>
  <c r="AZ131" i="11"/>
  <c r="AS131" i="11"/>
  <c r="AH131" i="11"/>
  <c r="AC131" i="11"/>
  <c r="U131" i="11"/>
  <c r="M131" i="11"/>
  <c r="F131" i="11"/>
  <c r="BM130" i="11"/>
  <c r="AZ130" i="11"/>
  <c r="AS130" i="11"/>
  <c r="AH130" i="11"/>
  <c r="AC130" i="11"/>
  <c r="U130" i="11"/>
  <c r="M130" i="11"/>
  <c r="F130" i="11"/>
  <c r="BM129" i="11"/>
  <c r="AZ129" i="11"/>
  <c r="AS129" i="11"/>
  <c r="AH129" i="11"/>
  <c r="AC129" i="11"/>
  <c r="U129" i="11"/>
  <c r="M129" i="11"/>
  <c r="F129" i="11"/>
  <c r="BM128" i="11"/>
  <c r="AZ128" i="11"/>
  <c r="AS128" i="11"/>
  <c r="AH128" i="11"/>
  <c r="AC128" i="11"/>
  <c r="U128" i="11"/>
  <c r="M128" i="11"/>
  <c r="F128" i="11"/>
  <c r="BM127" i="11"/>
  <c r="AZ127" i="11"/>
  <c r="AS127" i="11"/>
  <c r="AH127" i="11"/>
  <c r="AC127" i="11"/>
  <c r="U127" i="11"/>
  <c r="M127" i="11"/>
  <c r="F127" i="11"/>
  <c r="BM126" i="11"/>
  <c r="AZ126" i="11"/>
  <c r="AS126" i="11"/>
  <c r="AH126" i="11"/>
  <c r="AC126" i="11"/>
  <c r="U126" i="11"/>
  <c r="M126" i="11"/>
  <c r="F126" i="11"/>
  <c r="BM125" i="11"/>
  <c r="AZ125" i="11"/>
  <c r="AS125" i="11"/>
  <c r="AH125" i="11"/>
  <c r="AC125" i="11"/>
  <c r="U125" i="11"/>
  <c r="M125" i="11"/>
  <c r="F125" i="11"/>
  <c r="BM124" i="11"/>
  <c r="AZ124" i="11"/>
  <c r="AS124" i="11"/>
  <c r="AH124" i="11"/>
  <c r="AC124" i="11"/>
  <c r="U124" i="11"/>
  <c r="M124" i="11"/>
  <c r="F124" i="11"/>
  <c r="BM123" i="11"/>
  <c r="AZ123" i="11"/>
  <c r="AS123" i="11"/>
  <c r="AH123" i="11"/>
  <c r="AC123" i="11"/>
  <c r="U123" i="11"/>
  <c r="M123" i="11"/>
  <c r="F123" i="11"/>
  <c r="BM122" i="11"/>
  <c r="AZ122" i="11"/>
  <c r="AS122" i="11"/>
  <c r="AH122" i="11"/>
  <c r="AC122" i="11"/>
  <c r="U122" i="11"/>
  <c r="M122" i="11"/>
  <c r="F122" i="11"/>
  <c r="BM121" i="11"/>
  <c r="AZ121" i="11"/>
  <c r="AS121" i="11"/>
  <c r="AH121" i="11"/>
  <c r="AC121" i="11"/>
  <c r="U121" i="11"/>
  <c r="M121" i="11"/>
  <c r="F121" i="11"/>
  <c r="BM120" i="11"/>
  <c r="AZ120" i="11"/>
  <c r="AS120" i="11"/>
  <c r="AH120" i="11"/>
  <c r="AC120" i="11"/>
  <c r="U120" i="11"/>
  <c r="M120" i="11"/>
  <c r="F120" i="11"/>
  <c r="BM119" i="11"/>
  <c r="AZ119" i="11"/>
  <c r="AS119" i="11"/>
  <c r="AH119" i="11"/>
  <c r="AC119" i="11"/>
  <c r="U119" i="11"/>
  <c r="M119" i="11"/>
  <c r="F119" i="11"/>
  <c r="BM118" i="11"/>
  <c r="AZ118" i="11"/>
  <c r="AS118" i="11"/>
  <c r="AH118" i="11"/>
  <c r="AC118" i="11"/>
  <c r="U118" i="11"/>
  <c r="M118" i="11"/>
  <c r="F118" i="11"/>
  <c r="BM117" i="11"/>
  <c r="AZ117" i="11"/>
  <c r="AS117" i="11"/>
  <c r="AH117" i="11"/>
  <c r="AC117" i="11"/>
  <c r="U117" i="11"/>
  <c r="M117" i="11"/>
  <c r="F117" i="11"/>
  <c r="BM116" i="11"/>
  <c r="AZ116" i="11"/>
  <c r="AS116" i="11"/>
  <c r="AH116" i="11"/>
  <c r="AC116" i="11"/>
  <c r="U116" i="11"/>
  <c r="M116" i="11"/>
  <c r="F116" i="11"/>
  <c r="BM115" i="11"/>
  <c r="AZ115" i="11"/>
  <c r="AS115" i="11"/>
  <c r="AH115" i="11"/>
  <c r="AC115" i="11"/>
  <c r="U115" i="11"/>
  <c r="M115" i="11"/>
  <c r="F115" i="11"/>
  <c r="BM114" i="11"/>
  <c r="AZ114" i="11"/>
  <c r="AS114" i="11"/>
  <c r="AH114" i="11"/>
  <c r="AC114" i="11"/>
  <c r="U114" i="11"/>
  <c r="M114" i="11"/>
  <c r="F114" i="11"/>
  <c r="BM113" i="11"/>
  <c r="AZ113" i="11"/>
  <c r="AS113" i="11"/>
  <c r="AH113" i="11"/>
  <c r="AC113" i="11"/>
  <c r="U113" i="11"/>
  <c r="M113" i="11"/>
  <c r="F113" i="11"/>
  <c r="BM112" i="11"/>
  <c r="AZ112" i="11"/>
  <c r="AS112" i="11"/>
  <c r="AH112" i="11"/>
  <c r="AC112" i="11"/>
  <c r="U112" i="11"/>
  <c r="M112" i="11"/>
  <c r="F112" i="11"/>
  <c r="BM111" i="11"/>
  <c r="AZ111" i="11"/>
  <c r="AS111" i="11"/>
  <c r="AH111" i="11"/>
  <c r="AC111" i="11"/>
  <c r="U111" i="11"/>
  <c r="M111" i="11"/>
  <c r="F111" i="11"/>
  <c r="BM110" i="11"/>
  <c r="AZ110" i="11"/>
  <c r="AS110" i="11"/>
  <c r="AH110" i="11"/>
  <c r="AC110" i="11"/>
  <c r="U110" i="11"/>
  <c r="M110" i="11"/>
  <c r="F110" i="11"/>
  <c r="BM109" i="11"/>
  <c r="AZ109" i="11"/>
  <c r="AS109" i="11"/>
  <c r="AH109" i="11"/>
  <c r="AC109" i="11"/>
  <c r="U109" i="11"/>
  <c r="M109" i="11"/>
  <c r="F109" i="11"/>
  <c r="BM108" i="11"/>
  <c r="AZ108" i="11"/>
  <c r="AS108" i="11"/>
  <c r="AH108" i="11"/>
  <c r="AC108" i="11"/>
  <c r="U108" i="11"/>
  <c r="M108" i="11"/>
  <c r="F108" i="11"/>
  <c r="BM107" i="11"/>
  <c r="AZ107" i="11"/>
  <c r="AS107" i="11"/>
  <c r="AH107" i="11"/>
  <c r="AC107" i="11"/>
  <c r="U107" i="11"/>
  <c r="M107" i="11"/>
  <c r="F107" i="11"/>
  <c r="BM106" i="11"/>
  <c r="AZ106" i="11"/>
  <c r="AS106" i="11"/>
  <c r="AH106" i="11"/>
  <c r="AC106" i="11"/>
  <c r="U106" i="11"/>
  <c r="M106" i="11"/>
  <c r="F106" i="11"/>
  <c r="BM105" i="11"/>
  <c r="AZ105" i="11"/>
  <c r="AS105" i="11"/>
  <c r="AH105" i="11"/>
  <c r="AC105" i="11"/>
  <c r="U105" i="11"/>
  <c r="M105" i="11"/>
  <c r="F105" i="11"/>
  <c r="BM104" i="11"/>
  <c r="AZ104" i="11"/>
  <c r="AS104" i="11"/>
  <c r="AH104" i="11"/>
  <c r="AC104" i="11"/>
  <c r="U104" i="11"/>
  <c r="M104" i="11"/>
  <c r="F104" i="11"/>
  <c r="BM103" i="11"/>
  <c r="AZ103" i="11"/>
  <c r="AS103" i="11"/>
  <c r="AH103" i="11"/>
  <c r="AC103" i="11"/>
  <c r="U103" i="11"/>
  <c r="M103" i="11"/>
  <c r="F103" i="11"/>
  <c r="BM102" i="11"/>
  <c r="AZ102" i="11"/>
  <c r="AS102" i="11"/>
  <c r="AH102" i="11"/>
  <c r="AC102" i="11"/>
  <c r="U102" i="11"/>
  <c r="M102" i="11"/>
  <c r="F102" i="11"/>
  <c r="BM101" i="11"/>
  <c r="AZ101" i="11"/>
  <c r="AS101" i="11"/>
  <c r="AH101" i="11"/>
  <c r="AC101" i="11"/>
  <c r="U101" i="11"/>
  <c r="M101" i="11"/>
  <c r="F101" i="11"/>
  <c r="BM100" i="11"/>
  <c r="AZ100" i="11"/>
  <c r="AS100" i="11"/>
  <c r="AH100" i="11"/>
  <c r="AC100" i="11"/>
  <c r="U100" i="11"/>
  <c r="M100" i="11"/>
  <c r="F100" i="11"/>
  <c r="BM99" i="11"/>
  <c r="AZ99" i="11"/>
  <c r="AS99" i="11"/>
  <c r="AH99" i="11"/>
  <c r="AC99" i="11"/>
  <c r="U99" i="11"/>
  <c r="M99" i="11"/>
  <c r="F99" i="11"/>
  <c r="BM98" i="11"/>
  <c r="AZ98" i="11"/>
  <c r="AS98" i="11"/>
  <c r="AH98" i="11"/>
  <c r="AC98" i="11"/>
  <c r="U98" i="11"/>
  <c r="M98" i="11"/>
  <c r="F98" i="11"/>
  <c r="BM97" i="11"/>
  <c r="AZ97" i="11"/>
  <c r="AS97" i="11"/>
  <c r="AH97" i="11"/>
  <c r="AC97" i="11"/>
  <c r="U97" i="11"/>
  <c r="M97" i="11"/>
  <c r="F97" i="11"/>
  <c r="BM96" i="11"/>
  <c r="AZ96" i="11"/>
  <c r="AS96" i="11"/>
  <c r="AH96" i="11"/>
  <c r="AC96" i="11"/>
  <c r="U96" i="11"/>
  <c r="M96" i="11"/>
  <c r="F96" i="11"/>
  <c r="BM95" i="11"/>
  <c r="AZ95" i="11"/>
  <c r="AS95" i="11"/>
  <c r="AH95" i="11"/>
  <c r="AC95" i="11"/>
  <c r="U95" i="11"/>
  <c r="M95" i="11"/>
  <c r="F95" i="11"/>
  <c r="BM94" i="11"/>
  <c r="AZ94" i="11"/>
  <c r="AS94" i="11"/>
  <c r="AH94" i="11"/>
  <c r="AC94" i="11"/>
  <c r="U94" i="11"/>
  <c r="M94" i="11"/>
  <c r="F94" i="11"/>
  <c r="BM93" i="11"/>
  <c r="AZ93" i="11"/>
  <c r="AS93" i="11"/>
  <c r="AH93" i="11"/>
  <c r="AC93" i="11"/>
  <c r="U93" i="11"/>
  <c r="M93" i="11"/>
  <c r="F93" i="11"/>
  <c r="BM92" i="11"/>
  <c r="AZ92" i="11"/>
  <c r="AS92" i="11"/>
  <c r="AH92" i="11"/>
  <c r="AC92" i="11"/>
  <c r="U92" i="11"/>
  <c r="M92" i="11"/>
  <c r="F92" i="11"/>
  <c r="BM91" i="11"/>
  <c r="AZ91" i="11"/>
  <c r="AS91" i="11"/>
  <c r="AH91" i="11"/>
  <c r="AC91" i="11"/>
  <c r="U91" i="11"/>
  <c r="M91" i="11"/>
  <c r="F91" i="11"/>
  <c r="BM90" i="11"/>
  <c r="AZ90" i="11"/>
  <c r="AS90" i="11"/>
  <c r="AH90" i="11"/>
  <c r="AC90" i="11"/>
  <c r="U90" i="11"/>
  <c r="M90" i="11"/>
  <c r="F90" i="11"/>
  <c r="BM89" i="11"/>
  <c r="AZ89" i="11"/>
  <c r="AS89" i="11"/>
  <c r="AH89" i="11"/>
  <c r="AC89" i="11"/>
  <c r="U89" i="11"/>
  <c r="M89" i="11"/>
  <c r="F89" i="11"/>
  <c r="BM88" i="11"/>
  <c r="AZ88" i="11"/>
  <c r="AS88" i="11"/>
  <c r="AH88" i="11"/>
  <c r="AC88" i="11"/>
  <c r="U88" i="11"/>
  <c r="M88" i="11"/>
  <c r="F88" i="11"/>
  <c r="BM87" i="11"/>
  <c r="AZ87" i="11"/>
  <c r="AS87" i="11"/>
  <c r="AH87" i="11"/>
  <c r="AC87" i="11"/>
  <c r="U87" i="11"/>
  <c r="M87" i="11"/>
  <c r="F87" i="11"/>
  <c r="BM86" i="11"/>
  <c r="AZ86" i="11"/>
  <c r="AS86" i="11"/>
  <c r="AH86" i="11"/>
  <c r="AC86" i="11"/>
  <c r="U86" i="11"/>
  <c r="M86" i="11"/>
  <c r="F86" i="11"/>
  <c r="BM85" i="11"/>
  <c r="AZ85" i="11"/>
  <c r="AS85" i="11"/>
  <c r="AH85" i="11"/>
  <c r="AC85" i="11"/>
  <c r="U85" i="11"/>
  <c r="M85" i="11"/>
  <c r="F85" i="11"/>
  <c r="BM84" i="11"/>
  <c r="AZ84" i="11"/>
  <c r="AS84" i="11"/>
  <c r="AH84" i="11"/>
  <c r="AC84" i="11"/>
  <c r="U84" i="11"/>
  <c r="M84" i="11"/>
  <c r="F84" i="11"/>
  <c r="BM83" i="11"/>
  <c r="AZ83" i="11"/>
  <c r="AS83" i="11"/>
  <c r="AH83" i="11"/>
  <c r="AC83" i="11"/>
  <c r="U83" i="11"/>
  <c r="M83" i="11"/>
  <c r="F83" i="11"/>
  <c r="BM82" i="11"/>
  <c r="AZ82" i="11"/>
  <c r="AS82" i="11"/>
  <c r="AH82" i="11"/>
  <c r="AC82" i="11"/>
  <c r="U82" i="11"/>
  <c r="M82" i="11"/>
  <c r="F82" i="11"/>
  <c r="BM81" i="11"/>
  <c r="AZ81" i="11"/>
  <c r="AS81" i="11"/>
  <c r="AH81" i="11"/>
  <c r="AC81" i="11"/>
  <c r="U81" i="11"/>
  <c r="M81" i="11"/>
  <c r="F81" i="11"/>
  <c r="BM80" i="11"/>
  <c r="AZ80" i="11"/>
  <c r="AS80" i="11"/>
  <c r="AH80" i="11"/>
  <c r="AC80" i="11"/>
  <c r="U80" i="11"/>
  <c r="M80" i="11"/>
  <c r="F80" i="11"/>
  <c r="BM79" i="11"/>
  <c r="AZ79" i="11"/>
  <c r="AS79" i="11"/>
  <c r="AH79" i="11"/>
  <c r="AC79" i="11"/>
  <c r="U79" i="11"/>
  <c r="M79" i="11"/>
  <c r="F79" i="11"/>
  <c r="BM78" i="11"/>
  <c r="AZ78" i="11"/>
  <c r="AS78" i="11"/>
  <c r="AH78" i="11"/>
  <c r="AC78" i="11"/>
  <c r="U78" i="11"/>
  <c r="M78" i="11"/>
  <c r="F78" i="11"/>
  <c r="BM77" i="11"/>
  <c r="AZ77" i="11"/>
  <c r="AS77" i="11"/>
  <c r="AH77" i="11"/>
  <c r="AC77" i="11"/>
  <c r="U77" i="11"/>
  <c r="M77" i="11"/>
  <c r="F77" i="11"/>
  <c r="BM76" i="11"/>
  <c r="AZ76" i="11"/>
  <c r="AS76" i="11"/>
  <c r="AH76" i="11"/>
  <c r="AC76" i="11"/>
  <c r="U76" i="11"/>
  <c r="M76" i="11"/>
  <c r="F76" i="11"/>
  <c r="BM75" i="11"/>
  <c r="AZ75" i="11"/>
  <c r="AS75" i="11"/>
  <c r="AH75" i="11"/>
  <c r="AC75" i="11"/>
  <c r="U75" i="11"/>
  <c r="M75" i="11"/>
  <c r="F75" i="11"/>
  <c r="BM74" i="11"/>
  <c r="AZ74" i="11"/>
  <c r="AS74" i="11"/>
  <c r="AH74" i="11"/>
  <c r="AC74" i="11"/>
  <c r="U74" i="11"/>
  <c r="M74" i="11"/>
  <c r="F74" i="11"/>
  <c r="BM73" i="11"/>
  <c r="AZ73" i="11"/>
  <c r="AS73" i="11"/>
  <c r="AH73" i="11"/>
  <c r="AC73" i="11"/>
  <c r="U73" i="11"/>
  <c r="M73" i="11"/>
  <c r="F73" i="11"/>
  <c r="BM72" i="11"/>
  <c r="AZ72" i="11"/>
  <c r="AS72" i="11"/>
  <c r="AH72" i="11"/>
  <c r="AC72" i="11"/>
  <c r="U72" i="11"/>
  <c r="M72" i="11"/>
  <c r="F72" i="11"/>
  <c r="BM71" i="11"/>
  <c r="AZ71" i="11"/>
  <c r="AS71" i="11"/>
  <c r="AH71" i="11"/>
  <c r="AC71" i="11"/>
  <c r="U71" i="11"/>
  <c r="M71" i="11"/>
  <c r="F71" i="11"/>
  <c r="BM70" i="11"/>
  <c r="AZ70" i="11"/>
  <c r="AS70" i="11"/>
  <c r="AH70" i="11"/>
  <c r="AC70" i="11"/>
  <c r="U70" i="11"/>
  <c r="M70" i="11"/>
  <c r="F70" i="11"/>
  <c r="BM69" i="11"/>
  <c r="AZ69" i="11"/>
  <c r="AS69" i="11"/>
  <c r="AH69" i="11"/>
  <c r="AC69" i="11"/>
  <c r="U69" i="11"/>
  <c r="M69" i="11"/>
  <c r="F69" i="11"/>
  <c r="BM68" i="11"/>
  <c r="AZ68" i="11"/>
  <c r="AS68" i="11"/>
  <c r="AH68" i="11"/>
  <c r="AC68" i="11"/>
  <c r="U68" i="11"/>
  <c r="M68" i="11"/>
  <c r="F68" i="11"/>
  <c r="BM67" i="11"/>
  <c r="AZ67" i="11"/>
  <c r="AS67" i="11"/>
  <c r="AH67" i="11"/>
  <c r="AC67" i="11"/>
  <c r="U67" i="11"/>
  <c r="M67" i="11"/>
  <c r="F67" i="11"/>
  <c r="BM66" i="11"/>
  <c r="AZ66" i="11"/>
  <c r="AS66" i="11"/>
  <c r="AH66" i="11"/>
  <c r="AC66" i="11"/>
  <c r="U66" i="11"/>
  <c r="M66" i="11"/>
  <c r="F66" i="11"/>
  <c r="BM65" i="11"/>
  <c r="AZ65" i="11"/>
  <c r="AS65" i="11"/>
  <c r="AH65" i="11"/>
  <c r="AC65" i="11"/>
  <c r="U65" i="11"/>
  <c r="M65" i="11"/>
  <c r="F65" i="11"/>
  <c r="BM64" i="11"/>
  <c r="AZ64" i="11"/>
  <c r="AS64" i="11"/>
  <c r="AH64" i="11"/>
  <c r="AC64" i="11"/>
  <c r="U64" i="11"/>
  <c r="M64" i="11"/>
  <c r="F64" i="11"/>
  <c r="BM63" i="11"/>
  <c r="AZ63" i="11"/>
  <c r="AS63" i="11"/>
  <c r="AH63" i="11"/>
  <c r="AC63" i="11"/>
  <c r="U63" i="11"/>
  <c r="M63" i="11"/>
  <c r="F63" i="11"/>
  <c r="BM62" i="11"/>
  <c r="AZ62" i="11"/>
  <c r="AS62" i="11"/>
  <c r="AH62" i="11"/>
  <c r="AC62" i="11"/>
  <c r="U62" i="11"/>
  <c r="M62" i="11"/>
  <c r="F62" i="11"/>
  <c r="BM61" i="11"/>
  <c r="AZ61" i="11"/>
  <c r="AS61" i="11"/>
  <c r="AH61" i="11"/>
  <c r="AC61" i="11"/>
  <c r="U61" i="11"/>
  <c r="M61" i="11"/>
  <c r="F61" i="11"/>
  <c r="BM60" i="11"/>
  <c r="AZ60" i="11"/>
  <c r="AS60" i="11"/>
  <c r="AH60" i="11"/>
  <c r="AC60" i="11"/>
  <c r="U60" i="11"/>
  <c r="M60" i="11"/>
  <c r="F60" i="11"/>
  <c r="BM59" i="11"/>
  <c r="AZ59" i="11"/>
  <c r="AS59" i="11"/>
  <c r="AH59" i="11"/>
  <c r="AC59" i="11"/>
  <c r="U59" i="11"/>
  <c r="M59" i="11"/>
  <c r="F59" i="11"/>
  <c r="BM58" i="11"/>
  <c r="AZ58" i="11"/>
  <c r="AS58" i="11"/>
  <c r="AH58" i="11"/>
  <c r="AC58" i="11"/>
  <c r="U58" i="11"/>
  <c r="M58" i="11"/>
  <c r="F58" i="11"/>
  <c r="BM57" i="11"/>
  <c r="AZ57" i="11"/>
  <c r="AS57" i="11"/>
  <c r="AH57" i="11"/>
  <c r="AC57" i="11"/>
  <c r="U57" i="11"/>
  <c r="M57" i="11"/>
  <c r="F57" i="11"/>
  <c r="BM56" i="11"/>
  <c r="AZ56" i="11"/>
  <c r="AS56" i="11"/>
  <c r="AH56" i="11"/>
  <c r="AC56" i="11"/>
  <c r="U56" i="11"/>
  <c r="M56" i="11"/>
  <c r="F56" i="11"/>
  <c r="BM55" i="11"/>
  <c r="AZ55" i="11"/>
  <c r="AS55" i="11"/>
  <c r="AH55" i="11"/>
  <c r="AC55" i="11"/>
  <c r="U55" i="11"/>
  <c r="M55" i="11"/>
  <c r="F55" i="11"/>
  <c r="BM54" i="11"/>
  <c r="AZ54" i="11"/>
  <c r="AS54" i="11"/>
  <c r="AH54" i="11"/>
  <c r="AC54" i="11"/>
  <c r="U54" i="11"/>
  <c r="M54" i="11"/>
  <c r="F54" i="11"/>
  <c r="BM53" i="11"/>
  <c r="AZ53" i="11"/>
  <c r="AS53" i="11"/>
  <c r="AH53" i="11"/>
  <c r="AC53" i="11"/>
  <c r="U53" i="11"/>
  <c r="M53" i="11"/>
  <c r="F53" i="11"/>
  <c r="BM52" i="11"/>
  <c r="AZ52" i="11"/>
  <c r="AS52" i="11"/>
  <c r="AH52" i="11"/>
  <c r="AC52" i="11"/>
  <c r="U52" i="11"/>
  <c r="M52" i="11"/>
  <c r="F52" i="11"/>
  <c r="BM51" i="11"/>
  <c r="AZ51" i="11"/>
  <c r="BJ51" i="11" s="1"/>
  <c r="AS51" i="11"/>
  <c r="AH51" i="11"/>
  <c r="AC51" i="11"/>
  <c r="U51" i="11"/>
  <c r="M51" i="11"/>
  <c r="F51" i="11"/>
  <c r="BM50" i="11"/>
  <c r="AZ50" i="11"/>
  <c r="AS50" i="11"/>
  <c r="AH50" i="11"/>
  <c r="AC50" i="11"/>
  <c r="U50" i="11"/>
  <c r="M50" i="11"/>
  <c r="F50" i="11"/>
  <c r="BM49" i="11"/>
  <c r="AZ49" i="11"/>
  <c r="AS49" i="11"/>
  <c r="AH49" i="11"/>
  <c r="AC49" i="11"/>
  <c r="U49" i="11"/>
  <c r="M49" i="11"/>
  <c r="F49" i="11"/>
  <c r="BM48" i="11"/>
  <c r="AZ48" i="11"/>
  <c r="AS48" i="11"/>
  <c r="AH48" i="11"/>
  <c r="AC48" i="11"/>
  <c r="U48" i="11"/>
  <c r="M48" i="11"/>
  <c r="F48" i="11"/>
  <c r="BM47" i="11"/>
  <c r="AZ47" i="11"/>
  <c r="AS47" i="11"/>
  <c r="AH47" i="11"/>
  <c r="AC47" i="11"/>
  <c r="U47" i="11"/>
  <c r="M47" i="11"/>
  <c r="F47" i="11"/>
  <c r="BM46" i="11"/>
  <c r="AZ46" i="11"/>
  <c r="AS46" i="11"/>
  <c r="AH46" i="11"/>
  <c r="AC46" i="11"/>
  <c r="U46" i="11"/>
  <c r="M46" i="11"/>
  <c r="F46" i="11"/>
  <c r="BM45" i="11"/>
  <c r="AZ45" i="11"/>
  <c r="AS45" i="11"/>
  <c r="AH45" i="11"/>
  <c r="AC45" i="11"/>
  <c r="U45" i="11"/>
  <c r="M45" i="11"/>
  <c r="G43" i="9" s="1"/>
  <c r="F45" i="11"/>
  <c r="BM44" i="11"/>
  <c r="AZ44" i="11"/>
  <c r="AS44" i="11"/>
  <c r="AH44" i="11"/>
  <c r="AC44" i="11"/>
  <c r="U44" i="11"/>
  <c r="M44" i="11"/>
  <c r="G42" i="9" s="1"/>
  <c r="F44" i="11"/>
  <c r="BM43" i="11"/>
  <c r="AZ43" i="11"/>
  <c r="AS43" i="11"/>
  <c r="AH43" i="11"/>
  <c r="AC43" i="11"/>
  <c r="U43" i="11"/>
  <c r="M43" i="11"/>
  <c r="G41" i="9" s="1"/>
  <c r="F43" i="11"/>
  <c r="BM42" i="11"/>
  <c r="AZ42" i="11"/>
  <c r="AS42" i="11"/>
  <c r="AH42" i="11"/>
  <c r="AC42" i="11"/>
  <c r="U42" i="11"/>
  <c r="M42" i="11"/>
  <c r="G40" i="9" s="1"/>
  <c r="F42" i="11"/>
  <c r="BM41" i="11"/>
  <c r="AZ41" i="11"/>
  <c r="AS41" i="11"/>
  <c r="AH41" i="11"/>
  <c r="AC41" i="11"/>
  <c r="U41" i="11"/>
  <c r="M41" i="11"/>
  <c r="G39" i="9" s="1"/>
  <c r="F41" i="11"/>
  <c r="BM40" i="11"/>
  <c r="AZ40" i="11"/>
  <c r="AS40" i="11"/>
  <c r="AH40" i="11"/>
  <c r="AC40" i="11"/>
  <c r="U40" i="11"/>
  <c r="M40" i="11"/>
  <c r="G38" i="9" s="1"/>
  <c r="F40" i="11"/>
  <c r="BM39" i="11"/>
  <c r="AZ39" i="11"/>
  <c r="AS39" i="11"/>
  <c r="AH39" i="11"/>
  <c r="AC39" i="11"/>
  <c r="U39" i="11"/>
  <c r="M39" i="11"/>
  <c r="G37" i="9" s="1"/>
  <c r="F39" i="11"/>
  <c r="BM38" i="11"/>
  <c r="AZ38" i="11"/>
  <c r="AS38" i="11"/>
  <c r="AH38" i="11"/>
  <c r="AC38" i="11"/>
  <c r="U38" i="11"/>
  <c r="M38" i="11"/>
  <c r="G36" i="9" s="1"/>
  <c r="F38" i="11"/>
  <c r="BM37" i="11"/>
  <c r="AZ37" i="11"/>
  <c r="AS37" i="11"/>
  <c r="AH37" i="11"/>
  <c r="AC37" i="11"/>
  <c r="U37" i="11"/>
  <c r="M37" i="11"/>
  <c r="G35" i="9" s="1"/>
  <c r="F37" i="11"/>
  <c r="BM36" i="11"/>
  <c r="AZ36" i="11"/>
  <c r="AS36" i="11"/>
  <c r="AH36" i="11"/>
  <c r="AC36" i="11"/>
  <c r="U36" i="11"/>
  <c r="M36" i="11"/>
  <c r="G34" i="9" s="1"/>
  <c r="F36" i="11"/>
  <c r="BM35" i="11"/>
  <c r="AZ35" i="11"/>
  <c r="AS35" i="11"/>
  <c r="AH35" i="11"/>
  <c r="AC35" i="11"/>
  <c r="U35" i="11"/>
  <c r="M35" i="11"/>
  <c r="G33" i="9" s="1"/>
  <c r="F35" i="11"/>
  <c r="BM34" i="11"/>
  <c r="AZ34" i="11"/>
  <c r="AS34" i="11"/>
  <c r="AH34" i="11"/>
  <c r="AC34" i="11"/>
  <c r="U34" i="11"/>
  <c r="M34" i="11"/>
  <c r="G32" i="9" s="1"/>
  <c r="F34" i="11"/>
  <c r="BM33" i="11"/>
  <c r="AZ33" i="11"/>
  <c r="AS33" i="11"/>
  <c r="AH33" i="11"/>
  <c r="AC33" i="11"/>
  <c r="U33" i="11"/>
  <c r="M33" i="11"/>
  <c r="G31" i="9" s="1"/>
  <c r="F33" i="11"/>
  <c r="BM32" i="11"/>
  <c r="AZ32" i="11"/>
  <c r="AS32" i="11"/>
  <c r="AH32" i="11"/>
  <c r="AC32" i="11"/>
  <c r="U32" i="11"/>
  <c r="M32" i="11"/>
  <c r="G30" i="9" s="1"/>
  <c r="F32" i="11"/>
  <c r="BM31" i="11"/>
  <c r="AZ31" i="11"/>
  <c r="AS31" i="11"/>
  <c r="AH31" i="11"/>
  <c r="AC31" i="11"/>
  <c r="U31" i="11"/>
  <c r="M31" i="11"/>
  <c r="G29" i="9" s="1"/>
  <c r="F31" i="11"/>
  <c r="BM30" i="11"/>
  <c r="AZ30" i="11"/>
  <c r="AS30" i="11"/>
  <c r="AH30" i="11"/>
  <c r="AC30" i="11"/>
  <c r="U30" i="11"/>
  <c r="M30" i="11"/>
  <c r="F30" i="11"/>
  <c r="BM29" i="11"/>
  <c r="AZ29" i="11"/>
  <c r="AS29" i="11"/>
  <c r="AH29" i="11"/>
  <c r="AC29" i="11"/>
  <c r="U29" i="11"/>
  <c r="M29" i="11"/>
  <c r="G27" i="9" s="1"/>
  <c r="F29" i="11"/>
  <c r="BM28" i="11"/>
  <c r="AZ28" i="11"/>
  <c r="AS28" i="11"/>
  <c r="AH28" i="11"/>
  <c r="AC28" i="11"/>
  <c r="U28" i="11"/>
  <c r="M28" i="11"/>
  <c r="G26" i="9" s="1"/>
  <c r="F28" i="11"/>
  <c r="BM27" i="11"/>
  <c r="AZ27" i="11"/>
  <c r="AS27" i="11"/>
  <c r="AH27" i="11"/>
  <c r="AC27" i="11"/>
  <c r="U27" i="11"/>
  <c r="M27" i="11"/>
  <c r="G25" i="9" s="1"/>
  <c r="F27" i="11"/>
  <c r="BM26" i="11"/>
  <c r="AZ26" i="11"/>
  <c r="AS26" i="11"/>
  <c r="AH26" i="11"/>
  <c r="AC26" i="11"/>
  <c r="U26" i="11"/>
  <c r="M26" i="11"/>
  <c r="G24" i="9" s="1"/>
  <c r="F26" i="11"/>
  <c r="BM25" i="11"/>
  <c r="AZ25" i="11"/>
  <c r="AS25" i="11"/>
  <c r="AH25" i="11"/>
  <c r="AC25" i="11"/>
  <c r="U25" i="11"/>
  <c r="M25" i="11"/>
  <c r="G23" i="9" s="1"/>
  <c r="F25" i="11"/>
  <c r="BM24" i="11"/>
  <c r="AZ24" i="11"/>
  <c r="AS24" i="11"/>
  <c r="AH24" i="11"/>
  <c r="AC24" i="11"/>
  <c r="U24" i="11"/>
  <c r="M24" i="11"/>
  <c r="G22" i="9" s="1"/>
  <c r="F24" i="11"/>
  <c r="BM23" i="11"/>
  <c r="AZ23" i="11"/>
  <c r="AS23" i="11"/>
  <c r="AH23" i="11"/>
  <c r="AC23" i="11"/>
  <c r="U23" i="11"/>
  <c r="M23" i="11"/>
  <c r="G21" i="9" s="1"/>
  <c r="F23" i="11"/>
  <c r="BM22" i="11"/>
  <c r="AZ22" i="11"/>
  <c r="AS22" i="11"/>
  <c r="AH22" i="11"/>
  <c r="AC22" i="11"/>
  <c r="U22" i="11"/>
  <c r="M22" i="11"/>
  <c r="G20" i="9" s="1"/>
  <c r="F22" i="11"/>
  <c r="BM21" i="11"/>
  <c r="AZ21" i="11"/>
  <c r="AS21" i="11"/>
  <c r="AH21" i="11"/>
  <c r="AC21" i="11"/>
  <c r="U21" i="11"/>
  <c r="M21" i="11"/>
  <c r="F21" i="11"/>
  <c r="BM20" i="11"/>
  <c r="BJ20" i="11"/>
  <c r="AZ20" i="11"/>
  <c r="AS20" i="11"/>
  <c r="AH20" i="11"/>
  <c r="AC20" i="11"/>
  <c r="U20" i="11"/>
  <c r="M20" i="11"/>
  <c r="G18" i="9" s="1"/>
  <c r="F20" i="11"/>
  <c r="BM19" i="11"/>
  <c r="AZ19" i="11"/>
  <c r="AS19" i="11"/>
  <c r="AH19" i="11"/>
  <c r="AC19" i="11"/>
  <c r="U19" i="11"/>
  <c r="M19" i="11"/>
  <c r="G17" i="9" s="1"/>
  <c r="F19" i="11"/>
  <c r="BM18" i="11"/>
  <c r="AZ18" i="11"/>
  <c r="AS18" i="11"/>
  <c r="AH18" i="11"/>
  <c r="AC18" i="11"/>
  <c r="U18" i="11"/>
  <c r="M18" i="11"/>
  <c r="F18" i="11"/>
  <c r="BM17" i="11"/>
  <c r="AZ17" i="11"/>
  <c r="AS17" i="11"/>
  <c r="AH17" i="11"/>
  <c r="AC17" i="11"/>
  <c r="U17" i="11"/>
  <c r="M17" i="11"/>
  <c r="G15" i="9" s="1"/>
  <c r="F17" i="11"/>
  <c r="BM16" i="11"/>
  <c r="AZ16" i="11"/>
  <c r="AS16" i="11"/>
  <c r="AH16" i="11"/>
  <c r="AC16" i="11"/>
  <c r="U16" i="11"/>
  <c r="M16" i="11"/>
  <c r="G14" i="9" s="1"/>
  <c r="F16" i="11"/>
  <c r="BM15" i="11"/>
  <c r="AZ15" i="11"/>
  <c r="AS15" i="11"/>
  <c r="AH15" i="11"/>
  <c r="AC15" i="11"/>
  <c r="U15" i="11"/>
  <c r="M15" i="11"/>
  <c r="F15" i="11"/>
  <c r="BM14" i="11"/>
  <c r="AZ14" i="11"/>
  <c r="AS14" i="11"/>
  <c r="AH14" i="11"/>
  <c r="AC14" i="11"/>
  <c r="U14" i="11"/>
  <c r="M14" i="11"/>
  <c r="G12" i="9" s="1"/>
  <c r="F14" i="11"/>
  <c r="BM13" i="11"/>
  <c r="AZ13" i="11"/>
  <c r="AS13" i="11"/>
  <c r="AH13" i="11"/>
  <c r="AC13" i="11"/>
  <c r="U13" i="11"/>
  <c r="M13" i="11"/>
  <c r="G11" i="9" s="1"/>
  <c r="F13" i="11"/>
  <c r="BM12" i="11"/>
  <c r="AZ12" i="11"/>
  <c r="AS12" i="11"/>
  <c r="F10" i="9" s="1"/>
  <c r="AH12" i="11"/>
  <c r="AC12" i="11"/>
  <c r="U12" i="11"/>
  <c r="M12" i="11"/>
  <c r="G10" i="9" s="1"/>
  <c r="F12" i="11"/>
  <c r="BM11" i="11"/>
  <c r="AZ11" i="11"/>
  <c r="AS11" i="11"/>
  <c r="F9" i="9" s="1"/>
  <c r="AH11" i="11"/>
  <c r="AC11" i="11"/>
  <c r="U11" i="11"/>
  <c r="M11" i="11"/>
  <c r="G9" i="9" s="1"/>
  <c r="F11" i="11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A11" i="11"/>
  <c r="A12" i="11" s="1"/>
  <c r="BM10" i="11"/>
  <c r="BN10" i="11" s="1"/>
  <c r="AZ10" i="11"/>
  <c r="AS10" i="11"/>
  <c r="AH10" i="11"/>
  <c r="AC10" i="11"/>
  <c r="U10" i="11"/>
  <c r="M10" i="11"/>
  <c r="G8" i="9" s="1"/>
  <c r="F10" i="11"/>
  <c r="D10" i="11"/>
  <c r="D11" i="11" s="1"/>
  <c r="F27" i="9" l="1"/>
  <c r="BJ32" i="11"/>
  <c r="F34" i="9"/>
  <c r="F35" i="9"/>
  <c r="BJ38" i="11"/>
  <c r="F37" i="9"/>
  <c r="BJ40" i="11"/>
  <c r="F39" i="9"/>
  <c r="BJ60" i="11"/>
  <c r="BJ42" i="11"/>
  <c r="F41" i="9"/>
  <c r="F42" i="9"/>
  <c r="F43" i="9"/>
  <c r="BJ47" i="11"/>
  <c r="BJ87" i="11"/>
  <c r="BJ102" i="11"/>
  <c r="BJ123" i="11"/>
  <c r="BJ124" i="11"/>
  <c r="BJ125" i="11"/>
  <c r="BJ127" i="11"/>
  <c r="BJ129" i="11"/>
  <c r="BJ139" i="11"/>
  <c r="BJ140" i="11"/>
  <c r="BJ141" i="11"/>
  <c r="BJ142" i="11"/>
  <c r="BJ143" i="11"/>
  <c r="BJ151" i="11"/>
  <c r="BJ69" i="11"/>
  <c r="BJ72" i="11"/>
  <c r="BJ84" i="11"/>
  <c r="BJ30" i="11"/>
  <c r="BJ157" i="11"/>
  <c r="AR101" i="11"/>
  <c r="AR102" i="11"/>
  <c r="BJ158" i="11"/>
  <c r="BJ13" i="11"/>
  <c r="BJ14" i="11"/>
  <c r="F13" i="9"/>
  <c r="BJ16" i="11"/>
  <c r="F15" i="9"/>
  <c r="F16" i="9"/>
  <c r="F17" i="9"/>
  <c r="F18" i="9"/>
  <c r="BJ35" i="11"/>
  <c r="BJ45" i="11"/>
  <c r="BJ92" i="11"/>
  <c r="BJ99" i="11"/>
  <c r="BJ144" i="11"/>
  <c r="BJ145" i="11"/>
  <c r="BJ148" i="11"/>
  <c r="BJ149" i="11"/>
  <c r="BJ150" i="11"/>
  <c r="BJ75" i="11"/>
  <c r="BJ76" i="11"/>
  <c r="BJ77" i="11"/>
  <c r="BJ78" i="11"/>
  <c r="BJ81" i="11"/>
  <c r="BJ133" i="11"/>
  <c r="AR159" i="11"/>
  <c r="BJ23" i="11"/>
  <c r="BJ24" i="11"/>
  <c r="F23" i="9"/>
  <c r="F24" i="9"/>
  <c r="F25" i="9"/>
  <c r="BJ28" i="11"/>
  <c r="BJ29" i="11"/>
  <c r="F28" i="9"/>
  <c r="F29" i="9"/>
  <c r="F30" i="9"/>
  <c r="BJ89" i="11"/>
  <c r="BJ90" i="11"/>
  <c r="BJ91" i="11"/>
  <c r="BJ96" i="11"/>
  <c r="BJ97" i="11"/>
  <c r="BJ98" i="11"/>
  <c r="BJ101" i="11"/>
  <c r="F31" i="9"/>
  <c r="F33" i="9"/>
  <c r="BJ105" i="11"/>
  <c r="BJ106" i="11"/>
  <c r="BJ107" i="11"/>
  <c r="BJ111" i="11"/>
  <c r="BJ116" i="11"/>
  <c r="BJ117" i="11"/>
  <c r="BJ48" i="11"/>
  <c r="BJ53" i="11"/>
  <c r="BJ54" i="11"/>
  <c r="BJ56" i="11"/>
  <c r="BJ58" i="11"/>
  <c r="BJ59" i="11"/>
  <c r="F8" i="9"/>
  <c r="BJ66" i="11"/>
  <c r="BJ114" i="11"/>
  <c r="F11" i="9"/>
  <c r="BJ17" i="11"/>
  <c r="BJ63" i="11"/>
  <c r="BJ18" i="11"/>
  <c r="BJ21" i="11"/>
  <c r="BJ152" i="11"/>
  <c r="BJ33" i="11"/>
  <c r="AR126" i="11"/>
  <c r="AR96" i="11"/>
  <c r="AR130" i="11"/>
  <c r="AR135" i="11"/>
  <c r="AR142" i="11"/>
  <c r="AR17" i="11"/>
  <c r="AR18" i="11"/>
  <c r="AR84" i="11"/>
  <c r="BK84" i="11" s="1"/>
  <c r="AR85" i="11"/>
  <c r="AR86" i="11"/>
  <c r="AR87" i="11"/>
  <c r="BK87" i="11" s="1"/>
  <c r="AR88" i="11"/>
  <c r="AR11" i="11"/>
  <c r="AR114" i="11"/>
  <c r="AR49" i="11"/>
  <c r="AR50" i="11"/>
  <c r="AR51" i="11"/>
  <c r="BK51" i="11" s="1"/>
  <c r="AR116" i="11"/>
  <c r="AR19" i="11"/>
  <c r="AR20" i="11"/>
  <c r="BK20" i="11" s="1"/>
  <c r="J18" i="9" s="1"/>
  <c r="AR118" i="11"/>
  <c r="AR120" i="11"/>
  <c r="AR121" i="11"/>
  <c r="AR122" i="11"/>
  <c r="AR22" i="11"/>
  <c r="AR39" i="11"/>
  <c r="AR68" i="11"/>
  <c r="AR136" i="11"/>
  <c r="AR32" i="11"/>
  <c r="AR70" i="11"/>
  <c r="AR110" i="11"/>
  <c r="AR34" i="11"/>
  <c r="AR74" i="11"/>
  <c r="AR75" i="11"/>
  <c r="BK75" i="11" s="1"/>
  <c r="AR81" i="11"/>
  <c r="AR153" i="11"/>
  <c r="AR154" i="11"/>
  <c r="AR155" i="11"/>
  <c r="AR45" i="11"/>
  <c r="BK45" i="11" s="1"/>
  <c r="J43" i="9" s="1"/>
  <c r="AR57" i="11"/>
  <c r="AR59" i="11"/>
  <c r="AR111" i="11"/>
  <c r="AR148" i="11"/>
  <c r="BK148" i="11" s="1"/>
  <c r="AH160" i="11"/>
  <c r="AR23" i="11"/>
  <c r="BK23" i="11" s="1"/>
  <c r="J21" i="9" s="1"/>
  <c r="AR53" i="11"/>
  <c r="BJ67" i="11"/>
  <c r="BJ68" i="11"/>
  <c r="AR78" i="11"/>
  <c r="AR79" i="11"/>
  <c r="AR80" i="11"/>
  <c r="BJ86" i="11"/>
  <c r="AR107" i="11"/>
  <c r="AR124" i="11"/>
  <c r="BK124" i="11" s="1"/>
  <c r="AR138" i="11"/>
  <c r="AR147" i="11"/>
  <c r="BJ153" i="11"/>
  <c r="F38" i="9"/>
  <c r="F22" i="9"/>
  <c r="F14" i="9"/>
  <c r="AR13" i="11"/>
  <c r="BK13" i="11" s="1"/>
  <c r="J11" i="9" s="1"/>
  <c r="AR14" i="11"/>
  <c r="BK14" i="11" s="1"/>
  <c r="J12" i="9" s="1"/>
  <c r="AR27" i="11"/>
  <c r="BJ34" i="11"/>
  <c r="AR43" i="11"/>
  <c r="AR44" i="11"/>
  <c r="BJ50" i="11"/>
  <c r="BJ71" i="11"/>
  <c r="AR90" i="11"/>
  <c r="AR93" i="11"/>
  <c r="AR95" i="11"/>
  <c r="BJ119" i="11"/>
  <c r="BJ120" i="11"/>
  <c r="AR129" i="11"/>
  <c r="BK129" i="11" s="1"/>
  <c r="BJ134" i="11"/>
  <c r="BJ135" i="11"/>
  <c r="BK135" i="11" s="1"/>
  <c r="AR145" i="11"/>
  <c r="AR146" i="11"/>
  <c r="BJ154" i="11"/>
  <c r="BJ155" i="11"/>
  <c r="BJ156" i="11"/>
  <c r="F21" i="9"/>
  <c r="G16" i="9"/>
  <c r="F160" i="11"/>
  <c r="AR15" i="11"/>
  <c r="BJ22" i="11"/>
  <c r="AR29" i="11"/>
  <c r="AR30" i="11"/>
  <c r="AR31" i="11"/>
  <c r="AR41" i="11"/>
  <c r="BJ52" i="11"/>
  <c r="AR62" i="11"/>
  <c r="AR65" i="11"/>
  <c r="BJ73" i="11"/>
  <c r="BJ74" i="11"/>
  <c r="AR82" i="11"/>
  <c r="AR92" i="11"/>
  <c r="BK92" i="11" s="1"/>
  <c r="AR94" i="11"/>
  <c r="BJ104" i="11"/>
  <c r="AR115" i="11"/>
  <c r="BJ121" i="11"/>
  <c r="AR127" i="11"/>
  <c r="BK127" i="11" s="1"/>
  <c r="AR128" i="11"/>
  <c r="BJ136" i="11"/>
  <c r="BJ137" i="11"/>
  <c r="BJ138" i="11"/>
  <c r="AR144" i="11"/>
  <c r="BJ159" i="11"/>
  <c r="BK159" i="11" s="1"/>
  <c r="F36" i="9"/>
  <c r="F20" i="9"/>
  <c r="F12" i="9"/>
  <c r="F19" i="9"/>
  <c r="BJ36" i="11"/>
  <c r="AR66" i="11"/>
  <c r="BK66" i="11" s="1"/>
  <c r="AR98" i="11"/>
  <c r="BJ122" i="11"/>
  <c r="AR150" i="11"/>
  <c r="BK150" i="11" s="1"/>
  <c r="AR151" i="11"/>
  <c r="BK151" i="11" s="1"/>
  <c r="AR152" i="11"/>
  <c r="F26" i="9"/>
  <c r="G13" i="9"/>
  <c r="BJ11" i="11"/>
  <c r="AR33" i="11"/>
  <c r="BJ39" i="11"/>
  <c r="AR47" i="11"/>
  <c r="BK47" i="11" s="1"/>
  <c r="AR61" i="11"/>
  <c r="AR69" i="11"/>
  <c r="BK69" i="11" s="1"/>
  <c r="BJ80" i="11"/>
  <c r="AR104" i="11"/>
  <c r="BJ108" i="11"/>
  <c r="BJ110" i="11"/>
  <c r="BJ126" i="11"/>
  <c r="BK126" i="11" s="1"/>
  <c r="AR132" i="11"/>
  <c r="AR133" i="11"/>
  <c r="BK133" i="11" s="1"/>
  <c r="AR134" i="11"/>
  <c r="AR137" i="11"/>
  <c r="BJ147" i="11"/>
  <c r="G28" i="9"/>
  <c r="AR21" i="11"/>
  <c r="BJ26" i="11"/>
  <c r="BJ27" i="11"/>
  <c r="AR37" i="11"/>
  <c r="AR38" i="11"/>
  <c r="BK38" i="11" s="1"/>
  <c r="J36" i="9" s="1"/>
  <c r="BJ41" i="11"/>
  <c r="BJ44" i="11"/>
  <c r="BJ57" i="11"/>
  <c r="AR72" i="11"/>
  <c r="BK72" i="11" s="1"/>
  <c r="AR89" i="11"/>
  <c r="BK89" i="11" s="1"/>
  <c r="BJ93" i="11"/>
  <c r="BJ95" i="11"/>
  <c r="AR141" i="11"/>
  <c r="BK141" i="11" s="1"/>
  <c r="AR157" i="11"/>
  <c r="BK157" i="11" s="1"/>
  <c r="AR158" i="11"/>
  <c r="F40" i="9"/>
  <c r="F32" i="9"/>
  <c r="G19" i="9"/>
  <c r="AR12" i="11"/>
  <c r="BP11" i="11"/>
  <c r="BQ11" i="11" s="1"/>
  <c r="BJ12" i="11"/>
  <c r="BJ15" i="11"/>
  <c r="AR26" i="11"/>
  <c r="AR35" i="11"/>
  <c r="BK35" i="11" s="1"/>
  <c r="J33" i="9" s="1"/>
  <c r="BJ46" i="11"/>
  <c r="AR55" i="11"/>
  <c r="AR56" i="11"/>
  <c r="BK56" i="11" s="1"/>
  <c r="BJ61" i="11"/>
  <c r="BJ62" i="11"/>
  <c r="BJ65" i="11"/>
  <c r="AR76" i="11"/>
  <c r="BK76" i="11" s="1"/>
  <c r="BJ82" i="11"/>
  <c r="BJ83" i="11"/>
  <c r="AR105" i="11"/>
  <c r="AR109" i="11"/>
  <c r="BJ113" i="11"/>
  <c r="BJ128" i="11"/>
  <c r="BJ130" i="11"/>
  <c r="BJ131" i="11"/>
  <c r="BJ132" i="11"/>
  <c r="AR139" i="11"/>
  <c r="BK139" i="11" s="1"/>
  <c r="AR140" i="11"/>
  <c r="AR156" i="11"/>
  <c r="A13" i="11"/>
  <c r="BP12" i="11"/>
  <c r="BQ12" i="11" s="1"/>
  <c r="AR10" i="11"/>
  <c r="BJ19" i="11"/>
  <c r="BJ31" i="11"/>
  <c r="BJ37" i="11"/>
  <c r="AR40" i="11"/>
  <c r="BJ43" i="11"/>
  <c r="AR46" i="11"/>
  <c r="BJ49" i="11"/>
  <c r="AR52" i="11"/>
  <c r="BJ55" i="11"/>
  <c r="AR58" i="11"/>
  <c r="D12" i="1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D85" i="11" s="1"/>
  <c r="D86" i="11" s="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D103" i="11" s="1"/>
  <c r="D104" i="11" s="1"/>
  <c r="D105" i="11" s="1"/>
  <c r="D106" i="11" s="1"/>
  <c r="D107" i="11" s="1"/>
  <c r="D108" i="11" s="1"/>
  <c r="D109" i="11" s="1"/>
  <c r="D110" i="11" s="1"/>
  <c r="D111" i="11" s="1"/>
  <c r="D112" i="11" s="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D132" i="11" s="1"/>
  <c r="D133" i="11" s="1"/>
  <c r="D134" i="11" s="1"/>
  <c r="D135" i="11" s="1"/>
  <c r="D136" i="11" s="1"/>
  <c r="D137" i="11" s="1"/>
  <c r="D138" i="11" s="1"/>
  <c r="D139" i="11" s="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D157" i="11" s="1"/>
  <c r="D158" i="11" s="1"/>
  <c r="D159" i="11" s="1"/>
  <c r="M160" i="11"/>
  <c r="AR28" i="11"/>
  <c r="AS160" i="11"/>
  <c r="BP10" i="11"/>
  <c r="BJ10" i="11"/>
  <c r="AZ160" i="11"/>
  <c r="AR16" i="11"/>
  <c r="BJ25" i="11"/>
  <c r="AC160" i="11"/>
  <c r="AR24" i="11"/>
  <c r="BK24" i="11" s="1"/>
  <c r="J22" i="9" s="1"/>
  <c r="AR25" i="11"/>
  <c r="AR36" i="11"/>
  <c r="AR42" i="11"/>
  <c r="BK42" i="11" s="1"/>
  <c r="J40" i="9" s="1"/>
  <c r="AR48" i="11"/>
  <c r="BK48" i="11" s="1"/>
  <c r="AR54" i="11"/>
  <c r="AR60" i="11"/>
  <c r="BK60" i="11" s="1"/>
  <c r="AR63" i="11"/>
  <c r="AR67" i="11"/>
  <c r="AR71" i="11"/>
  <c r="AR108" i="11"/>
  <c r="U160" i="11"/>
  <c r="BJ64" i="11"/>
  <c r="AR73" i="11"/>
  <c r="AR77" i="11"/>
  <c r="BK77" i="11" s="1"/>
  <c r="AR83" i="11"/>
  <c r="AR99" i="11"/>
  <c r="AR64" i="11"/>
  <c r="BJ70" i="11"/>
  <c r="BJ79" i="11"/>
  <c r="BJ85" i="11"/>
  <c r="BJ88" i="11"/>
  <c r="AR97" i="11"/>
  <c r="AR106" i="11"/>
  <c r="BK106" i="11" s="1"/>
  <c r="BJ112" i="11"/>
  <c r="BJ118" i="11"/>
  <c r="AR119" i="11"/>
  <c r="BK119" i="11" s="1"/>
  <c r="BJ94" i="11"/>
  <c r="BJ103" i="11"/>
  <c r="BJ109" i="11"/>
  <c r="AR112" i="11"/>
  <c r="AR103" i="11"/>
  <c r="AR113" i="11"/>
  <c r="BJ100" i="11"/>
  <c r="AR117" i="11"/>
  <c r="BK117" i="11" s="1"/>
  <c r="AR91" i="11"/>
  <c r="BK91" i="11" s="1"/>
  <c r="AR100" i="11"/>
  <c r="BJ115" i="11"/>
  <c r="AR125" i="11"/>
  <c r="BK125" i="11" s="1"/>
  <c r="BJ146" i="11"/>
  <c r="AR149" i="11"/>
  <c r="AR123" i="11"/>
  <c r="AR143" i="11"/>
  <c r="BK143" i="11" s="1"/>
  <c r="AR131" i="11"/>
  <c r="BK40" i="11" l="1"/>
  <c r="J38" i="9" s="1"/>
  <c r="BK140" i="11"/>
  <c r="BK105" i="11"/>
  <c r="BK54" i="11"/>
  <c r="BK73" i="11"/>
  <c r="BK16" i="11"/>
  <c r="J14" i="9" s="1"/>
  <c r="BK30" i="11"/>
  <c r="J28" i="9" s="1"/>
  <c r="BK99" i="11"/>
  <c r="BK90" i="11"/>
  <c r="BK32" i="11"/>
  <c r="J30" i="9" s="1"/>
  <c r="BK144" i="11"/>
  <c r="BK104" i="11"/>
  <c r="BK78" i="11"/>
  <c r="BK102" i="11"/>
  <c r="BK88" i="11"/>
  <c r="BK130" i="11"/>
  <c r="BK154" i="11"/>
  <c r="BK118" i="11"/>
  <c r="BK101" i="11"/>
  <c r="BK81" i="11"/>
  <c r="BK58" i="11"/>
  <c r="BK96" i="11"/>
  <c r="BK123" i="11"/>
  <c r="BK28" i="11"/>
  <c r="J26" i="9" s="1"/>
  <c r="BK145" i="11"/>
  <c r="BK107" i="11"/>
  <c r="BK142" i="11"/>
  <c r="BK149" i="11"/>
  <c r="BK113" i="11"/>
  <c r="BK53" i="11"/>
  <c r="BK21" i="11"/>
  <c r="J19" i="9" s="1"/>
  <c r="BK158" i="11"/>
  <c r="BK39" i="11"/>
  <c r="J37" i="9" s="1"/>
  <c r="BK86" i="11"/>
  <c r="BK80" i="11"/>
  <c r="BK153" i="11"/>
  <c r="BK136" i="11"/>
  <c r="BK100" i="11"/>
  <c r="BK134" i="11"/>
  <c r="BK36" i="11"/>
  <c r="J34" i="9" s="1"/>
  <c r="BK111" i="11"/>
  <c r="BK116" i="11"/>
  <c r="BK29" i="11"/>
  <c r="J27" i="9" s="1"/>
  <c r="BK95" i="11"/>
  <c r="BK59" i="11"/>
  <c r="BK112" i="11"/>
  <c r="BK97" i="11"/>
  <c r="BK63" i="11"/>
  <c r="BK146" i="11"/>
  <c r="BK93" i="11"/>
  <c r="BK34" i="11"/>
  <c r="J32" i="9" s="1"/>
  <c r="BK18" i="11"/>
  <c r="J16" i="9" s="1"/>
  <c r="BK98" i="11"/>
  <c r="BK155" i="11"/>
  <c r="BK120" i="11"/>
  <c r="BK17" i="11"/>
  <c r="J15" i="9" s="1"/>
  <c r="BK121" i="11"/>
  <c r="BK33" i="11"/>
  <c r="J31" i="9" s="1"/>
  <c r="BK114" i="11"/>
  <c r="BK26" i="11"/>
  <c r="J24" i="9" s="1"/>
  <c r="BK11" i="11"/>
  <c r="J9" i="9" s="1"/>
  <c r="BK41" i="11"/>
  <c r="J39" i="9" s="1"/>
  <c r="BK79" i="11"/>
  <c r="BK68" i="11"/>
  <c r="BK83" i="11"/>
  <c r="BK46" i="11"/>
  <c r="BK37" i="11"/>
  <c r="J35" i="9" s="1"/>
  <c r="BK152" i="11"/>
  <c r="BK74" i="11"/>
  <c r="BK22" i="11"/>
  <c r="J20" i="9" s="1"/>
  <c r="BK70" i="11"/>
  <c r="BK122" i="11"/>
  <c r="BK115" i="11"/>
  <c r="BK50" i="11"/>
  <c r="BK85" i="11"/>
  <c r="BK57" i="11"/>
  <c r="BK110" i="11"/>
  <c r="BK55" i="11"/>
  <c r="BK49" i="11"/>
  <c r="BK19" i="11"/>
  <c r="J17" i="9" s="1"/>
  <c r="BK43" i="11"/>
  <c r="J41" i="9" s="1"/>
  <c r="BK65" i="11"/>
  <c r="BK137" i="11"/>
  <c r="BK109" i="11"/>
  <c r="BK94" i="11"/>
  <c r="BK128" i="11"/>
  <c r="BK82" i="11"/>
  <c r="BK44" i="11"/>
  <c r="J42" i="9" s="1"/>
  <c r="BK71" i="11"/>
  <c r="BK12" i="11"/>
  <c r="J10" i="9" s="1"/>
  <c r="BK156" i="11"/>
  <c r="AI161" i="11"/>
  <c r="BK64" i="11"/>
  <c r="BK67" i="11"/>
  <c r="BK31" i="11"/>
  <c r="J29" i="9" s="1"/>
  <c r="BK131" i="11"/>
  <c r="BK103" i="11"/>
  <c r="BK108" i="11"/>
  <c r="BK132" i="11"/>
  <c r="BK61" i="11"/>
  <c r="BK15" i="11"/>
  <c r="J13" i="9" s="1"/>
  <c r="BK27" i="11"/>
  <c r="J25" i="9" s="1"/>
  <c r="BK52" i="11"/>
  <c r="BK138" i="11"/>
  <c r="BK62" i="11"/>
  <c r="BK147" i="11"/>
  <c r="AK161" i="11"/>
  <c r="A14" i="11"/>
  <c r="BP13" i="11"/>
  <c r="BQ13" i="11" s="1"/>
  <c r="K161" i="11"/>
  <c r="X161" i="11"/>
  <c r="BH161" i="11"/>
  <c r="AQ161" i="11"/>
  <c r="N161" i="11"/>
  <c r="BD161" i="11"/>
  <c r="AM161" i="11"/>
  <c r="AB161" i="11"/>
  <c r="R161" i="11"/>
  <c r="V161" i="11"/>
  <c r="AU161" i="11"/>
  <c r="W161" i="11"/>
  <c r="AD161" i="11"/>
  <c r="G161" i="11"/>
  <c r="AW161" i="11"/>
  <c r="T161" i="11"/>
  <c r="AY161" i="11"/>
  <c r="AN161" i="11"/>
  <c r="AX161" i="11"/>
  <c r="AG161" i="11"/>
  <c r="BK25" i="11"/>
  <c r="BJ160" i="11"/>
  <c r="E161" i="11"/>
  <c r="Q161" i="11"/>
  <c r="BG161" i="11"/>
  <c r="AJ161" i="11"/>
  <c r="S161" i="11"/>
  <c r="BC161" i="11"/>
  <c r="Z161" i="11"/>
  <c r="I161" i="11"/>
  <c r="BE161" i="11"/>
  <c r="AT161" i="11"/>
  <c r="AR160" i="11"/>
  <c r="BK10" i="11"/>
  <c r="BA161" i="11"/>
  <c r="AP161" i="11"/>
  <c r="Y161" i="11"/>
  <c r="BI161" i="11"/>
  <c r="AF161" i="11"/>
  <c r="O161" i="11"/>
  <c r="J161" i="11"/>
  <c r="BF161" i="11"/>
  <c r="BB161" i="11"/>
  <c r="H161" i="11"/>
  <c r="BQ10" i="11"/>
  <c r="L161" i="11"/>
  <c r="AV161" i="11"/>
  <c r="AE161" i="11"/>
  <c r="AL161" i="11"/>
  <c r="AA161" i="11"/>
  <c r="P161" i="11"/>
  <c r="BL145" i="11" l="1"/>
  <c r="BL20" i="11"/>
  <c r="BL14" i="11"/>
  <c r="BL54" i="11"/>
  <c r="BL41" i="11"/>
  <c r="BL31" i="11"/>
  <c r="BL80" i="11"/>
  <c r="AH161" i="11"/>
  <c r="BL69" i="11"/>
  <c r="J23" i="9"/>
  <c r="AC161" i="11"/>
  <c r="BL70" i="11"/>
  <c r="J8" i="9"/>
  <c r="BL62" i="11"/>
  <c r="BL103" i="11"/>
  <c r="BL95" i="11"/>
  <c r="BL118" i="11"/>
  <c r="BL78" i="11"/>
  <c r="BL73" i="11"/>
  <c r="BL85" i="11"/>
  <c r="BL77" i="11"/>
  <c r="BL61" i="11"/>
  <c r="BL142" i="11"/>
  <c r="BL119" i="11"/>
  <c r="BL111" i="11"/>
  <c r="BL55" i="11"/>
  <c r="BL46" i="11"/>
  <c r="BL158" i="11"/>
  <c r="BL126" i="11"/>
  <c r="BL117" i="11"/>
  <c r="BL56" i="11"/>
  <c r="BL124" i="11"/>
  <c r="BL101" i="11"/>
  <c r="BL97" i="11"/>
  <c r="BL37" i="11"/>
  <c r="BL52" i="11"/>
  <c r="BL133" i="11"/>
  <c r="BL66" i="11"/>
  <c r="BL42" i="11"/>
  <c r="BL36" i="11"/>
  <c r="BL151" i="11"/>
  <c r="BL144" i="11"/>
  <c r="BL87" i="11"/>
  <c r="BL51" i="11"/>
  <c r="BL27" i="11"/>
  <c r="BL157" i="11"/>
  <c r="BL91" i="11"/>
  <c r="A15" i="11"/>
  <c r="BP14" i="11"/>
  <c r="AZ161" i="11"/>
  <c r="BL104" i="11"/>
  <c r="BL122" i="11"/>
  <c r="BL139" i="11"/>
  <c r="BL72" i="11"/>
  <c r="BL48" i="11"/>
  <c r="BK160" i="11"/>
  <c r="BL28" i="11"/>
  <c r="BL16" i="11"/>
  <c r="BL12" i="11"/>
  <c r="BL11" i="11"/>
  <c r="BL10" i="11"/>
  <c r="BL30" i="11"/>
  <c r="BL18" i="11"/>
  <c r="BO10" i="11"/>
  <c r="L8" i="9" s="1"/>
  <c r="BL13" i="11"/>
  <c r="BL34" i="11"/>
  <c r="BL24" i="11"/>
  <c r="BL15" i="11"/>
  <c r="BL114" i="11"/>
  <c r="BL75" i="11"/>
  <c r="BL84" i="11"/>
  <c r="BL26" i="11"/>
  <c r="BL67" i="11"/>
  <c r="BL106" i="11"/>
  <c r="BL143" i="11"/>
  <c r="BL88" i="11"/>
  <c r="BL39" i="11"/>
  <c r="BL49" i="11"/>
  <c r="BL113" i="11"/>
  <c r="BL92" i="11"/>
  <c r="BL105" i="11"/>
  <c r="BL76" i="11"/>
  <c r="BL132" i="11"/>
  <c r="BL65" i="11"/>
  <c r="BL47" i="11"/>
  <c r="BL110" i="11"/>
  <c r="BL83" i="11"/>
  <c r="BL60" i="11"/>
  <c r="BL59" i="11"/>
  <c r="BL140" i="11"/>
  <c r="BL90" i="11"/>
  <c r="BL38" i="11"/>
  <c r="U161" i="11"/>
  <c r="BL153" i="11"/>
  <c r="BL125" i="11"/>
  <c r="BL115" i="11"/>
  <c r="BL82" i="11"/>
  <c r="BL136" i="11"/>
  <c r="BL123" i="11"/>
  <c r="BL108" i="11"/>
  <c r="BL86" i="11"/>
  <c r="BL129" i="11"/>
  <c r="BL130" i="11"/>
  <c r="BL107" i="11"/>
  <c r="BL102" i="11"/>
  <c r="BL43" i="11"/>
  <c r="BL135" i="11"/>
  <c r="BL116" i="11"/>
  <c r="BL96" i="11"/>
  <c r="BL64" i="11"/>
  <c r="BL150" i="11"/>
  <c r="BL94" i="11"/>
  <c r="BL57" i="11"/>
  <c r="BL29" i="11"/>
  <c r="BL40" i="11"/>
  <c r="BL148" i="11"/>
  <c r="BL137" i="11"/>
  <c r="BL68" i="11"/>
  <c r="BL19" i="11"/>
  <c r="BL147" i="11"/>
  <c r="BL98" i="11"/>
  <c r="BL71" i="11"/>
  <c r="BL53" i="11"/>
  <c r="BL128" i="11"/>
  <c r="BL156" i="11"/>
  <c r="BL99" i="11"/>
  <c r="BL63" i="11"/>
  <c r="BL35" i="11"/>
  <c r="AS161" i="11"/>
  <c r="BJ161" i="11" s="1"/>
  <c r="BL146" i="11"/>
  <c r="BL109" i="11"/>
  <c r="BL44" i="11"/>
  <c r="BL22" i="11"/>
  <c r="BL58" i="11"/>
  <c r="F161" i="11"/>
  <c r="BL79" i="11"/>
  <c r="BL93" i="11"/>
  <c r="M161" i="11"/>
  <c r="BL138" i="11"/>
  <c r="BL81" i="11"/>
  <c r="BL45" i="11"/>
  <c r="BL17" i="11"/>
  <c r="BL141" i="11"/>
  <c r="BL155" i="11"/>
  <c r="BL100" i="11"/>
  <c r="BL152" i="11"/>
  <c r="BL120" i="11"/>
  <c r="BL112" i="11"/>
  <c r="BL50" i="11"/>
  <c r="BL21" i="11"/>
  <c r="BL154" i="11"/>
  <c r="BL74" i="11"/>
  <c r="BL25" i="11"/>
  <c r="BL159" i="11"/>
  <c r="BL127" i="11"/>
  <c r="BL149" i="11"/>
  <c r="BL121" i="11"/>
  <c r="BL23" i="11"/>
  <c r="BL134" i="11"/>
  <c r="BL131" i="11"/>
  <c r="BL89" i="11"/>
  <c r="BL32" i="11"/>
  <c r="BL33" i="11"/>
  <c r="AR161" i="11" l="1"/>
  <c r="BK161" i="11" s="1"/>
  <c r="BL161" i="11" s="1"/>
  <c r="BQ14" i="11"/>
  <c r="BP15" i="11"/>
  <c r="BQ15" i="11" s="1"/>
  <c r="A16" i="11"/>
  <c r="BN11" i="11"/>
  <c r="BO11" i="11" s="1"/>
  <c r="L9" i="9" s="1"/>
  <c r="E10" i="10" s="1"/>
  <c r="BL160" i="11" l="1"/>
  <c r="B13" i="8"/>
  <c r="BN12" i="11"/>
  <c r="BO12" i="11" s="1"/>
  <c r="L10" i="9" s="1"/>
  <c r="BP16" i="11"/>
  <c r="A17" i="11"/>
  <c r="BN13" i="11" l="1"/>
  <c r="BO13" i="11" s="1"/>
  <c r="L11" i="9" s="1"/>
  <c r="A18" i="11"/>
  <c r="BP17" i="11"/>
  <c r="BQ17" i="11" s="1"/>
  <c r="BQ16" i="11"/>
  <c r="BN14" i="11" l="1"/>
  <c r="BO14" i="11" s="1"/>
  <c r="L12" i="9" s="1"/>
  <c r="A19" i="11"/>
  <c r="BP18" i="11"/>
  <c r="BQ18" i="11" l="1"/>
  <c r="BN15" i="11"/>
  <c r="BO15" i="11" s="1"/>
  <c r="L13" i="9" s="1"/>
  <c r="A20" i="11"/>
  <c r="BP19" i="11"/>
  <c r="BQ19" i="11" s="1"/>
  <c r="BN16" i="11" l="1"/>
  <c r="BO16" i="11" s="1"/>
  <c r="L14" i="9" s="1"/>
  <c r="E15" i="10" s="1"/>
  <c r="A21" i="11"/>
  <c r="BP20" i="11"/>
  <c r="BQ20" i="11" s="1"/>
  <c r="BN17" i="11" l="1"/>
  <c r="BO17" i="11" s="1"/>
  <c r="L15" i="9" s="1"/>
  <c r="BP21" i="11"/>
  <c r="BQ21" i="11" s="1"/>
  <c r="A22" i="11"/>
  <c r="BN18" i="11" l="1"/>
  <c r="BO18" i="11" s="1"/>
  <c r="L16" i="9" s="1"/>
  <c r="BP22" i="11"/>
  <c r="BQ22" i="11" s="1"/>
  <c r="A23" i="11"/>
  <c r="BN19" i="11" l="1"/>
  <c r="BO19" i="11" s="1"/>
  <c r="L17" i="9" s="1"/>
  <c r="A24" i="11"/>
  <c r="BP23" i="11"/>
  <c r="BQ23" i="11" s="1"/>
  <c r="A25" i="11" l="1"/>
  <c r="BP24" i="11"/>
  <c r="BQ24" i="11" s="1"/>
  <c r="BN20" i="11"/>
  <c r="BO20" i="11" s="1"/>
  <c r="L18" i="9" s="1"/>
  <c r="BN21" i="11" l="1"/>
  <c r="BO21" i="11" s="1"/>
  <c r="L19" i="9" s="1"/>
  <c r="A26" i="11"/>
  <c r="BP25" i="11"/>
  <c r="BQ25" i="11" s="1"/>
  <c r="BN22" i="11" l="1"/>
  <c r="BO22" i="11" s="1"/>
  <c r="L20" i="9" s="1"/>
  <c r="A27" i="11"/>
  <c r="BP26" i="11"/>
  <c r="BQ26" i="11" s="1"/>
  <c r="BN23" i="11" l="1"/>
  <c r="BO23" i="11" s="1"/>
  <c r="L21" i="9" s="1"/>
  <c r="BP27" i="11"/>
  <c r="BQ27" i="11" s="1"/>
  <c r="A28" i="11"/>
  <c r="BN24" i="11" l="1"/>
  <c r="BO24" i="11" s="1"/>
  <c r="L22" i="9" s="1"/>
  <c r="BP28" i="11"/>
  <c r="BQ28" i="11" s="1"/>
  <c r="A29" i="11"/>
  <c r="BN25" i="11" l="1"/>
  <c r="BO25" i="11" s="1"/>
  <c r="L23" i="9" s="1"/>
  <c r="A30" i="11"/>
  <c r="BP29" i="11"/>
  <c r="BQ29" i="11" s="1"/>
  <c r="BN26" i="11" l="1"/>
  <c r="BO26" i="11" s="1"/>
  <c r="L24" i="9" s="1"/>
  <c r="A31" i="11"/>
  <c r="BP30" i="11"/>
  <c r="BQ30" i="11" s="1"/>
  <c r="BN27" i="11" l="1"/>
  <c r="BO27" i="11" s="1"/>
  <c r="L25" i="9" s="1"/>
  <c r="A32" i="11"/>
  <c r="BP31" i="11"/>
  <c r="BQ31" i="11" s="1"/>
  <c r="BN28" i="11" l="1"/>
  <c r="BO28" i="11" s="1"/>
  <c r="L26" i="9" s="1"/>
  <c r="A33" i="11"/>
  <c r="BP32" i="11"/>
  <c r="BQ32" i="11" s="1"/>
  <c r="BN29" i="11" l="1"/>
  <c r="BO29" i="11" s="1"/>
  <c r="L27" i="9" s="1"/>
  <c r="BP33" i="11"/>
  <c r="BQ33" i="11" s="1"/>
  <c r="A34" i="11"/>
  <c r="BN30" i="11" l="1"/>
  <c r="BO30" i="11" s="1"/>
  <c r="L28" i="9" s="1"/>
  <c r="BP34" i="11"/>
  <c r="BQ34" i="11" s="1"/>
  <c r="A35" i="11"/>
  <c r="BN31" i="11" l="1"/>
  <c r="BO31" i="11" s="1"/>
  <c r="L29" i="9" s="1"/>
  <c r="A36" i="11"/>
  <c r="BP35" i="11"/>
  <c r="BQ35" i="11" s="1"/>
  <c r="BN32" i="11" l="1"/>
  <c r="BO32" i="11" s="1"/>
  <c r="L30" i="9" s="1"/>
  <c r="A37" i="11"/>
  <c r="BP36" i="11"/>
  <c r="BQ36" i="11" s="1"/>
  <c r="BN33" i="11" l="1"/>
  <c r="BO33" i="11" s="1"/>
  <c r="L31" i="9" s="1"/>
  <c r="A38" i="11"/>
  <c r="BP37" i="11"/>
  <c r="BQ37" i="11" s="1"/>
  <c r="BN34" i="11" l="1"/>
  <c r="BO34" i="11" s="1"/>
  <c r="L32" i="9" s="1"/>
  <c r="A39" i="11"/>
  <c r="BP38" i="11"/>
  <c r="BQ38" i="11" s="1"/>
  <c r="A40" i="11" l="1"/>
  <c r="BP39" i="11"/>
  <c r="BQ39" i="11" s="1"/>
  <c r="BN35" i="11"/>
  <c r="BO35" i="11" s="1"/>
  <c r="L33" i="9" s="1"/>
  <c r="BN36" i="11" l="1"/>
  <c r="BO36" i="11" s="1"/>
  <c r="L34" i="9" s="1"/>
  <c r="BP40" i="11"/>
  <c r="BQ40" i="11" s="1"/>
  <c r="A41" i="11"/>
  <c r="BN37" i="11" l="1"/>
  <c r="BO37" i="11" s="1"/>
  <c r="L35" i="9" s="1"/>
  <c r="BP41" i="11"/>
  <c r="BQ41" i="11" s="1"/>
  <c r="A42" i="11"/>
  <c r="BN38" i="11" l="1"/>
  <c r="BO38" i="11" s="1"/>
  <c r="L36" i="9" s="1"/>
  <c r="A43" i="11"/>
  <c r="BP42" i="11"/>
  <c r="BQ42" i="11" s="1"/>
  <c r="BN39" i="11" l="1"/>
  <c r="BO39" i="11" s="1"/>
  <c r="L37" i="9" s="1"/>
  <c r="E38" i="10" s="1"/>
  <c r="A44" i="11"/>
  <c r="BP43" i="11"/>
  <c r="BQ43" i="11" s="1"/>
  <c r="BN40" i="11" l="1"/>
  <c r="BO40" i="11" s="1"/>
  <c r="L38" i="9" s="1"/>
  <c r="A45" i="11"/>
  <c r="BP44" i="11"/>
  <c r="BQ44" i="11" s="1"/>
  <c r="A46" i="11" l="1"/>
  <c r="BP45" i="11"/>
  <c r="BQ45" i="11" s="1"/>
  <c r="BN41" i="11"/>
  <c r="BO41" i="11" s="1"/>
  <c r="L39" i="9" s="1"/>
  <c r="BN42" i="11" l="1"/>
  <c r="BO42" i="11" s="1"/>
  <c r="L40" i="9" s="1"/>
  <c r="BP46" i="11"/>
  <c r="BQ46" i="11" s="1"/>
  <c r="A47" i="11"/>
  <c r="BN43" i="11" l="1"/>
  <c r="BO43" i="11" s="1"/>
  <c r="L41" i="9" s="1"/>
  <c r="BP47" i="11"/>
  <c r="BQ47" i="11" s="1"/>
  <c r="A48" i="11"/>
  <c r="A49" i="11" l="1"/>
  <c r="BP48" i="11"/>
  <c r="BQ48" i="11" s="1"/>
  <c r="BN44" i="11"/>
  <c r="BO44" i="11" s="1"/>
  <c r="L42" i="9" s="1"/>
  <c r="BN45" i="11" l="1"/>
  <c r="BO45" i="11" s="1"/>
  <c r="L43" i="9" s="1"/>
  <c r="A50" i="11"/>
  <c r="BP49" i="11"/>
  <c r="BQ49" i="11" s="1"/>
  <c r="BN46" i="11" l="1"/>
  <c r="BO46" i="11" s="1"/>
  <c r="A51" i="11"/>
  <c r="BP50" i="11"/>
  <c r="BQ50" i="11" s="1"/>
  <c r="BN47" i="11" l="1"/>
  <c r="BO47" i="11" s="1"/>
  <c r="A52" i="11"/>
  <c r="BP51" i="11"/>
  <c r="BQ51" i="11" s="1"/>
  <c r="BN48" i="11" l="1"/>
  <c r="BO48" i="11" s="1"/>
  <c r="BP52" i="11"/>
  <c r="BQ52" i="11" s="1"/>
  <c r="A53" i="11"/>
  <c r="BN49" i="11" l="1"/>
  <c r="BO49" i="11" s="1"/>
  <c r="BP53" i="11"/>
  <c r="BQ53" i="11" s="1"/>
  <c r="A54" i="11"/>
  <c r="A55" i="11" l="1"/>
  <c r="BP54" i="11"/>
  <c r="BQ54" i="11" s="1"/>
  <c r="BN50" i="11"/>
  <c r="BO50" i="11" s="1"/>
  <c r="BN51" i="11" l="1"/>
  <c r="BO51" i="11" s="1"/>
  <c r="A56" i="11"/>
  <c r="BP55" i="11"/>
  <c r="BQ55" i="11" s="1"/>
  <c r="BN52" i="11" l="1"/>
  <c r="BO52" i="11" s="1"/>
  <c r="A57" i="11"/>
  <c r="BP56" i="11"/>
  <c r="BQ56" i="11" s="1"/>
  <c r="A58" i="11" l="1"/>
  <c r="BP57" i="11"/>
  <c r="BQ57" i="11" s="1"/>
  <c r="BN53" i="11"/>
  <c r="BO53" i="11" s="1"/>
  <c r="BN54" i="11" l="1"/>
  <c r="BO54" i="11" s="1"/>
  <c r="BP58" i="11"/>
  <c r="BQ58" i="11" s="1"/>
  <c r="A59" i="11"/>
  <c r="BN55" i="11" l="1"/>
  <c r="BO55" i="11" s="1"/>
  <c r="BP59" i="11"/>
  <c r="BQ59" i="11" s="1"/>
  <c r="A60" i="11"/>
  <c r="BN56" i="11" l="1"/>
  <c r="BO56" i="11" s="1"/>
  <c r="BP60" i="11"/>
  <c r="BQ60" i="11" s="1"/>
  <c r="A61" i="11"/>
  <c r="BN57" i="11" l="1"/>
  <c r="BO57" i="11" s="1"/>
  <c r="BP61" i="11"/>
  <c r="BQ61" i="11" s="1"/>
  <c r="A62" i="11"/>
  <c r="BN58" i="11" l="1"/>
  <c r="BO58" i="11" s="1"/>
  <c r="A63" i="11"/>
  <c r="BP62" i="11"/>
  <c r="BQ62" i="11" s="1"/>
  <c r="BN59" i="11" l="1"/>
  <c r="BO59" i="11" s="1"/>
  <c r="A64" i="11"/>
  <c r="BP63" i="11"/>
  <c r="BQ63" i="11" s="1"/>
  <c r="BN60" i="11" l="1"/>
  <c r="BO60" i="11" s="1"/>
  <c r="BP64" i="11"/>
  <c r="BQ64" i="11" s="1"/>
  <c r="A65" i="11"/>
  <c r="BN61" i="11" l="1"/>
  <c r="BO61" i="11" s="1"/>
  <c r="A66" i="11"/>
  <c r="BP65" i="11"/>
  <c r="BQ65" i="11" s="1"/>
  <c r="A67" i="11" l="1"/>
  <c r="BP66" i="11"/>
  <c r="BQ66" i="11" s="1"/>
  <c r="BN62" i="11"/>
  <c r="BO62" i="11" s="1"/>
  <c r="BN63" i="11" l="1"/>
  <c r="BO63" i="11" s="1"/>
  <c r="BP67" i="11"/>
  <c r="BQ67" i="11" s="1"/>
  <c r="A68" i="11"/>
  <c r="BN64" i="11" l="1"/>
  <c r="BO64" i="11" s="1"/>
  <c r="A69" i="11"/>
  <c r="BP68" i="11"/>
  <c r="BQ68" i="11" s="1"/>
  <c r="BN65" i="11" l="1"/>
  <c r="BO65" i="11" s="1"/>
  <c r="A70" i="11"/>
  <c r="BP69" i="11"/>
  <c r="BQ69" i="11" s="1"/>
  <c r="BN66" i="11" l="1"/>
  <c r="BO66" i="11" s="1"/>
  <c r="BP70" i="11"/>
  <c r="BQ70" i="11" s="1"/>
  <c r="A71" i="11"/>
  <c r="BN67" i="11" l="1"/>
  <c r="BO67" i="11" s="1"/>
  <c r="A72" i="11"/>
  <c r="BP71" i="11"/>
  <c r="BQ71" i="11" s="1"/>
  <c r="BN68" i="11" l="1"/>
  <c r="BO68" i="11" s="1"/>
  <c r="A73" i="11"/>
  <c r="BP72" i="11"/>
  <c r="BQ72" i="11" s="1"/>
  <c r="BN69" i="11" l="1"/>
  <c r="BO69" i="11" s="1"/>
  <c r="BP73" i="11"/>
  <c r="BQ73" i="11" s="1"/>
  <c r="A74" i="11"/>
  <c r="BN70" i="11" l="1"/>
  <c r="BO70" i="11" s="1"/>
  <c r="A75" i="11"/>
  <c r="BP74" i="11"/>
  <c r="BQ74" i="11" s="1"/>
  <c r="BN71" i="11" l="1"/>
  <c r="BO71" i="11" s="1"/>
  <c r="A76" i="11"/>
  <c r="BP75" i="11"/>
  <c r="BQ75" i="11" s="1"/>
  <c r="BN72" i="11" l="1"/>
  <c r="BO72" i="11" s="1"/>
  <c r="BP76" i="11"/>
  <c r="BQ76" i="11" s="1"/>
  <c r="A77" i="11"/>
  <c r="BN73" i="11" l="1"/>
  <c r="BO73" i="11" s="1"/>
  <c r="BP77" i="11"/>
  <c r="BQ77" i="11" s="1"/>
  <c r="A78" i="11"/>
  <c r="BN74" i="11" l="1"/>
  <c r="BO74" i="11" s="1"/>
  <c r="A79" i="11"/>
  <c r="BP78" i="11"/>
  <c r="BQ78" i="11" s="1"/>
  <c r="BN75" i="11" l="1"/>
  <c r="BO75" i="11" s="1"/>
  <c r="A80" i="11"/>
  <c r="BP79" i="11"/>
  <c r="BQ79" i="11" s="1"/>
  <c r="BN76" i="11" l="1"/>
  <c r="BO76" i="11" s="1"/>
  <c r="A81" i="11"/>
  <c r="BP80" i="11"/>
  <c r="BQ80" i="11" s="1"/>
  <c r="BN77" i="11" l="1"/>
  <c r="BO77" i="11" s="1"/>
  <c r="A82" i="11"/>
  <c r="BP81" i="11"/>
  <c r="BQ81" i="11" s="1"/>
  <c r="BN78" i="11" l="1"/>
  <c r="BO78" i="11" s="1"/>
  <c r="BP82" i="11"/>
  <c r="BQ82" i="11" s="1"/>
  <c r="A83" i="11"/>
  <c r="BN79" i="11" l="1"/>
  <c r="BO79" i="11" s="1"/>
  <c r="BP83" i="11"/>
  <c r="BQ83" i="11" s="1"/>
  <c r="A84" i="11"/>
  <c r="A85" i="11" l="1"/>
  <c r="BP84" i="11"/>
  <c r="BQ84" i="11" s="1"/>
  <c r="BN80" i="11"/>
  <c r="BO80" i="11" s="1"/>
  <c r="BN81" i="11" l="1"/>
  <c r="BO81" i="11" s="1"/>
  <c r="A86" i="11"/>
  <c r="BP85" i="11"/>
  <c r="BQ85" i="11" s="1"/>
  <c r="BN82" i="11" l="1"/>
  <c r="BO82" i="11" s="1"/>
  <c r="A87" i="11"/>
  <c r="BP86" i="11"/>
  <c r="BQ86" i="11" s="1"/>
  <c r="BN83" i="11" l="1"/>
  <c r="BO83" i="11" s="1"/>
  <c r="A88" i="11"/>
  <c r="BP87" i="11"/>
  <c r="BQ87" i="11" s="1"/>
  <c r="BN84" i="11" l="1"/>
  <c r="BO84" i="11" s="1"/>
  <c r="BP88" i="11"/>
  <c r="BQ88" i="11" s="1"/>
  <c r="A89" i="11"/>
  <c r="BN85" i="11" l="1"/>
  <c r="BO85" i="11" s="1"/>
  <c r="A90" i="11"/>
  <c r="BP89" i="11"/>
  <c r="BQ89" i="11" s="1"/>
  <c r="BN86" i="11" l="1"/>
  <c r="BO86" i="11" s="1"/>
  <c r="A91" i="11"/>
  <c r="BP90" i="11"/>
  <c r="BQ90" i="11" s="1"/>
  <c r="BN87" i="11" l="1"/>
  <c r="BO87" i="11" s="1"/>
  <c r="A92" i="11"/>
  <c r="BP91" i="11"/>
  <c r="BQ91" i="11" s="1"/>
  <c r="BN88" i="11" l="1"/>
  <c r="BO88" i="11" s="1"/>
  <c r="A93" i="11"/>
  <c r="BP92" i="11"/>
  <c r="BQ92" i="11" s="1"/>
  <c r="BN89" i="11" l="1"/>
  <c r="BO89" i="11" s="1"/>
  <c r="A94" i="11"/>
  <c r="BP93" i="11"/>
  <c r="BQ93" i="11" s="1"/>
  <c r="BN90" i="11" l="1"/>
  <c r="BO90" i="11" s="1"/>
  <c r="BP94" i="11"/>
  <c r="BQ94" i="11" s="1"/>
  <c r="A95" i="11"/>
  <c r="BN91" i="11" l="1"/>
  <c r="BO91" i="11" s="1"/>
  <c r="A96" i="11"/>
  <c r="BP95" i="11"/>
  <c r="BQ95" i="11" s="1"/>
  <c r="BN92" i="11" l="1"/>
  <c r="BO92" i="11" s="1"/>
  <c r="A97" i="11"/>
  <c r="BP96" i="11"/>
  <c r="BQ96" i="11" s="1"/>
  <c r="BN93" i="11" l="1"/>
  <c r="BO93" i="11" s="1"/>
  <c r="BP97" i="11"/>
  <c r="BQ97" i="11" s="1"/>
  <c r="A98" i="11"/>
  <c r="BN94" i="11" l="1"/>
  <c r="BO94" i="11" s="1"/>
  <c r="A99" i="11"/>
  <c r="BP98" i="11"/>
  <c r="BQ98" i="11" s="1"/>
  <c r="BN95" i="11" l="1"/>
  <c r="BO95" i="11" s="1"/>
  <c r="A100" i="11"/>
  <c r="BP99" i="11"/>
  <c r="BQ99" i="11" s="1"/>
  <c r="BN96" i="11" l="1"/>
  <c r="BO96" i="11" s="1"/>
  <c r="BP100" i="11"/>
  <c r="BQ100" i="11" s="1"/>
  <c r="A101" i="11"/>
  <c r="BN97" i="11" l="1"/>
  <c r="BO97" i="11" s="1"/>
  <c r="A102" i="11"/>
  <c r="BP101" i="11"/>
  <c r="BQ101" i="11" s="1"/>
  <c r="A103" i="11" l="1"/>
  <c r="BP102" i="11"/>
  <c r="BQ102" i="11" s="1"/>
  <c r="BN98" i="11"/>
  <c r="BO98" i="11" s="1"/>
  <c r="BN99" i="11" l="1"/>
  <c r="BO99" i="11" s="1"/>
  <c r="BP103" i="11"/>
  <c r="BQ103" i="11" s="1"/>
  <c r="A104" i="11"/>
  <c r="BN100" i="11" l="1"/>
  <c r="BO100" i="11" s="1"/>
  <c r="A105" i="11"/>
  <c r="BP104" i="11"/>
  <c r="BQ104" i="11" s="1"/>
  <c r="BN101" i="11" l="1"/>
  <c r="BO101" i="11" s="1"/>
  <c r="A106" i="11"/>
  <c r="BP105" i="11"/>
  <c r="BQ105" i="11" s="1"/>
  <c r="BN102" i="11" l="1"/>
  <c r="BO102" i="11" s="1"/>
  <c r="BP106" i="11"/>
  <c r="BQ106" i="11" s="1"/>
  <c r="A107" i="11"/>
  <c r="BN103" i="11" l="1"/>
  <c r="BO103" i="11" s="1"/>
  <c r="A108" i="11"/>
  <c r="BP107" i="11"/>
  <c r="BQ107" i="11" s="1"/>
  <c r="BN104" i="11" l="1"/>
  <c r="BO104" i="11" s="1"/>
  <c r="A109" i="11"/>
  <c r="BP108" i="11"/>
  <c r="BQ108" i="11" s="1"/>
  <c r="BN105" i="11" l="1"/>
  <c r="BO105" i="11" s="1"/>
  <c r="BP109" i="11"/>
  <c r="BQ109" i="11" s="1"/>
  <c r="A110" i="11"/>
  <c r="BN106" i="11" l="1"/>
  <c r="BO106" i="11" s="1"/>
  <c r="BP110" i="11"/>
  <c r="BQ110" i="11" s="1"/>
  <c r="A111" i="11"/>
  <c r="BP111" i="11" l="1"/>
  <c r="BQ111" i="11" s="1"/>
  <c r="A112" i="11"/>
  <c r="BN107" i="11"/>
  <c r="BO107" i="11" s="1"/>
  <c r="BN108" i="11" l="1"/>
  <c r="BO108" i="11" s="1"/>
  <c r="BP112" i="11"/>
  <c r="BQ112" i="11" s="1"/>
  <c r="A113" i="11"/>
  <c r="BN109" i="11" l="1"/>
  <c r="BO109" i="11" s="1"/>
  <c r="A114" i="11"/>
  <c r="BP113" i="11"/>
  <c r="BQ113" i="11" s="1"/>
  <c r="BN110" i="11" l="1"/>
  <c r="BO110" i="11" s="1"/>
  <c r="A115" i="11"/>
  <c r="BP114" i="11"/>
  <c r="BQ114" i="11" s="1"/>
  <c r="BN111" i="11" l="1"/>
  <c r="BO111" i="11" s="1"/>
  <c r="BP115" i="11"/>
  <c r="BQ115" i="11" s="1"/>
  <c r="A116" i="11"/>
  <c r="BN112" i="11" l="1"/>
  <c r="BO112" i="11" s="1"/>
  <c r="BP116" i="11"/>
  <c r="BQ116" i="11" s="1"/>
  <c r="A117" i="11"/>
  <c r="A118" i="11" l="1"/>
  <c r="BP117" i="11"/>
  <c r="BQ117" i="11" s="1"/>
  <c r="BN113" i="11"/>
  <c r="BO113" i="11" s="1"/>
  <c r="BN114" i="11" l="1"/>
  <c r="BO114" i="11" s="1"/>
  <c r="A119" i="11"/>
  <c r="BP118" i="11"/>
  <c r="BQ118" i="11" s="1"/>
  <c r="BN115" i="11" l="1"/>
  <c r="BO115" i="11" s="1"/>
  <c r="A120" i="11"/>
  <c r="BP119" i="11"/>
  <c r="BQ119" i="11" s="1"/>
  <c r="BN116" i="11" l="1"/>
  <c r="BO116" i="11" s="1"/>
  <c r="BP120" i="11"/>
  <c r="BQ120" i="11" s="1"/>
  <c r="A121" i="11"/>
  <c r="BN117" i="11" l="1"/>
  <c r="BO117" i="11" s="1"/>
  <c r="A122" i="11"/>
  <c r="BP121" i="11"/>
  <c r="BQ121" i="11" s="1"/>
  <c r="BN118" i="11" l="1"/>
  <c r="BO118" i="11" s="1"/>
  <c r="A123" i="11"/>
  <c r="BP122" i="11"/>
  <c r="BQ122" i="11" s="1"/>
  <c r="A124" i="11" l="1"/>
  <c r="BP123" i="11"/>
  <c r="BQ123" i="11" s="1"/>
  <c r="BN119" i="11"/>
  <c r="BO119" i="11" s="1"/>
  <c r="BN120" i="11" l="1"/>
  <c r="BO120" i="11" s="1"/>
  <c r="A125" i="11"/>
  <c r="BP124" i="11"/>
  <c r="BQ124" i="11" s="1"/>
  <c r="BN121" i="11" l="1"/>
  <c r="BO121" i="11" s="1"/>
  <c r="BP125" i="11"/>
  <c r="BQ125" i="11" s="1"/>
  <c r="A126" i="11"/>
  <c r="BN122" i="11" l="1"/>
  <c r="BO122" i="11" s="1"/>
  <c r="BP126" i="11"/>
  <c r="BQ126" i="11" s="1"/>
  <c r="A127" i="11"/>
  <c r="BN123" i="11" l="1"/>
  <c r="BO123" i="11" s="1"/>
  <c r="A128" i="11"/>
  <c r="BP127" i="11"/>
  <c r="BQ127" i="11" s="1"/>
  <c r="BN124" i="11" l="1"/>
  <c r="BO124" i="11" s="1"/>
  <c r="A129" i="11"/>
  <c r="BP128" i="11"/>
  <c r="BQ128" i="11" s="1"/>
  <c r="BN125" i="11" l="1"/>
  <c r="BO125" i="11" s="1"/>
  <c r="A130" i="11"/>
  <c r="BP129" i="11"/>
  <c r="BQ129" i="11" s="1"/>
  <c r="BN126" i="11" l="1"/>
  <c r="BO126" i="11" s="1"/>
  <c r="A131" i="11"/>
  <c r="BP130" i="11"/>
  <c r="BQ130" i="11" s="1"/>
  <c r="BN127" i="11" l="1"/>
  <c r="BO127" i="11" s="1"/>
  <c r="BP131" i="11"/>
  <c r="BQ131" i="11" s="1"/>
  <c r="A132" i="11"/>
  <c r="BN128" i="11" l="1"/>
  <c r="BO128" i="11" s="1"/>
  <c r="BP132" i="11"/>
  <c r="BQ132" i="11" s="1"/>
  <c r="A133" i="11"/>
  <c r="BN129" i="11" l="1"/>
  <c r="BO129" i="11" s="1"/>
  <c r="A134" i="11"/>
  <c r="BP133" i="11"/>
  <c r="BQ133" i="11" s="1"/>
  <c r="BN130" i="11" l="1"/>
  <c r="BO130" i="11" s="1"/>
  <c r="A135" i="11"/>
  <c r="BP134" i="11"/>
  <c r="BQ134" i="11" s="1"/>
  <c r="BN131" i="11" l="1"/>
  <c r="BO131" i="11" s="1"/>
  <c r="A136" i="11"/>
  <c r="BP135" i="11"/>
  <c r="BQ135" i="11" s="1"/>
  <c r="BN132" i="11" l="1"/>
  <c r="BO132" i="11" s="1"/>
  <c r="A137" i="11"/>
  <c r="BP136" i="11"/>
  <c r="BQ136" i="11" s="1"/>
  <c r="BN133" i="11" l="1"/>
  <c r="BO133" i="11" s="1"/>
  <c r="BP137" i="11"/>
  <c r="BQ137" i="11" s="1"/>
  <c r="A138" i="11"/>
  <c r="BN134" i="11" l="1"/>
  <c r="BO134" i="11" s="1"/>
  <c r="BP138" i="11"/>
  <c r="BQ138" i="11" s="1"/>
  <c r="A139" i="11"/>
  <c r="BN135" i="11" l="1"/>
  <c r="BO135" i="11" s="1"/>
  <c r="A140" i="11"/>
  <c r="BP139" i="11"/>
  <c r="BQ139" i="11" s="1"/>
  <c r="BN136" i="11" l="1"/>
  <c r="BO136" i="11" s="1"/>
  <c r="A141" i="11"/>
  <c r="BP140" i="11"/>
  <c r="BQ140" i="11" s="1"/>
  <c r="BN137" i="11" l="1"/>
  <c r="BO137" i="11" s="1"/>
  <c r="A142" i="11"/>
  <c r="BP141" i="11"/>
  <c r="BQ141" i="11" s="1"/>
  <c r="BN138" i="11" l="1"/>
  <c r="BO138" i="11" s="1"/>
  <c r="A143" i="11"/>
  <c r="BP142" i="11"/>
  <c r="BQ142" i="11" s="1"/>
  <c r="BN139" i="11" l="1"/>
  <c r="BO139" i="11" s="1"/>
  <c r="BP143" i="11"/>
  <c r="BQ143" i="11" s="1"/>
  <c r="A144" i="11"/>
  <c r="BN140" i="11" l="1"/>
  <c r="BO140" i="11" s="1"/>
  <c r="BP144" i="11"/>
  <c r="BQ144" i="11" s="1"/>
  <c r="A145" i="11"/>
  <c r="BN141" i="11" l="1"/>
  <c r="BO141" i="11" s="1"/>
  <c r="A146" i="11"/>
  <c r="BP145" i="11"/>
  <c r="BQ145" i="11" s="1"/>
  <c r="BN142" i="11" l="1"/>
  <c r="BO142" i="11" s="1"/>
  <c r="A147" i="11"/>
  <c r="BP146" i="11"/>
  <c r="BQ146" i="11" s="1"/>
  <c r="BN143" i="11" l="1"/>
  <c r="BO143" i="11" s="1"/>
  <c r="A148" i="11"/>
  <c r="BP147" i="11"/>
  <c r="BQ147" i="11" s="1"/>
  <c r="BN144" i="11" l="1"/>
  <c r="BO144" i="11" s="1"/>
  <c r="A149" i="11"/>
  <c r="BP148" i="11"/>
  <c r="BQ148" i="11" s="1"/>
  <c r="BN145" i="11" l="1"/>
  <c r="BO145" i="11" s="1"/>
  <c r="BP149" i="11"/>
  <c r="BQ149" i="11" s="1"/>
  <c r="A150" i="11"/>
  <c r="BN146" i="11" l="1"/>
  <c r="BO146" i="11" s="1"/>
  <c r="BP150" i="11"/>
  <c r="BQ150" i="11" s="1"/>
  <c r="A151" i="11"/>
  <c r="BN147" i="11" l="1"/>
  <c r="BO147" i="11" s="1"/>
  <c r="A152" i="11"/>
  <c r="BP151" i="11"/>
  <c r="BQ151" i="11" s="1"/>
  <c r="BN148" i="11" l="1"/>
  <c r="BO148" i="11" s="1"/>
  <c r="A153" i="11"/>
  <c r="BP152" i="11"/>
  <c r="BQ152" i="11" s="1"/>
  <c r="BN149" i="11" l="1"/>
  <c r="BO149" i="11" s="1"/>
  <c r="A154" i="11"/>
  <c r="BP153" i="11"/>
  <c r="BQ153" i="11" s="1"/>
  <c r="BN150" i="11" l="1"/>
  <c r="BO150" i="11" s="1"/>
  <c r="A155" i="11"/>
  <c r="BP154" i="11"/>
  <c r="BQ154" i="11" s="1"/>
  <c r="BN151" i="11" l="1"/>
  <c r="BO151" i="11" s="1"/>
  <c r="BP155" i="11"/>
  <c r="BQ155" i="11" s="1"/>
  <c r="A156" i="11"/>
  <c r="BN152" i="11" l="1"/>
  <c r="BO152" i="11" s="1"/>
  <c r="BP156" i="11"/>
  <c r="BQ156" i="11" s="1"/>
  <c r="A157" i="11"/>
  <c r="BN153" i="11" l="1"/>
  <c r="BO153" i="11" s="1"/>
  <c r="A158" i="11"/>
  <c r="BP157" i="11"/>
  <c r="BQ157" i="11" s="1"/>
  <c r="BN154" i="11" l="1"/>
  <c r="BO154" i="11" s="1"/>
  <c r="A159" i="11"/>
  <c r="BP159" i="11" s="1"/>
  <c r="BP158" i="11"/>
  <c r="BQ158" i="11" s="1"/>
  <c r="BN155" i="11" l="1"/>
  <c r="BO155" i="11" s="1"/>
  <c r="BQ159" i="11"/>
  <c r="BQ160" i="11" s="1"/>
  <c r="BP160" i="11"/>
  <c r="E4" i="11" l="1"/>
  <c r="BN156" i="11"/>
  <c r="BO156" i="11" s="1"/>
  <c r="BN157" i="11" l="1"/>
  <c r="BO157" i="11" s="1"/>
  <c r="BN158" i="11" l="1"/>
  <c r="BO158" i="11" s="1"/>
  <c r="BN159" i="11" l="1"/>
  <c r="BO159" i="11" s="1"/>
  <c r="C8" i="9" l="1"/>
  <c r="F21" i="7"/>
  <c r="F20" i="7"/>
  <c r="F13" i="7"/>
  <c r="F14" i="7" s="1"/>
  <c r="D8" i="9" l="1"/>
  <c r="F18" i="7"/>
  <c r="A15" i="8"/>
  <c r="A14" i="8"/>
  <c r="J17" i="8"/>
  <c r="I17" i="8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9" i="9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C7" i="9"/>
  <c r="H28" i="8"/>
  <c r="G28" i="8"/>
  <c r="F28" i="8"/>
  <c r="A28" i="8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F27" i="8" l="1"/>
  <c r="H26" i="8" s="1"/>
  <c r="G27" i="8"/>
  <c r="I28" i="8" s="1"/>
  <c r="G17" i="8"/>
  <c r="H17" i="8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27" i="8"/>
  <c r="A26" i="8" s="1"/>
  <c r="A25" i="8" s="1"/>
  <c r="A24" i="8" s="1"/>
  <c r="A23" i="8" s="1"/>
  <c r="A22" i="8" s="1"/>
  <c r="A21" i="8" s="1"/>
  <c r="A20" i="8" s="1"/>
  <c r="A19" i="8" s="1"/>
  <c r="A18" i="8" s="1"/>
  <c r="H27" i="8"/>
  <c r="A10" i="8"/>
  <c r="A9" i="8"/>
  <c r="K9" i="9" l="1"/>
  <c r="K10" i="9"/>
  <c r="G26" i="8"/>
  <c r="I27" i="8" s="1"/>
  <c r="F26" i="8"/>
  <c r="H25" i="8" s="1"/>
  <c r="J26" i="8" s="1"/>
  <c r="J27" i="8"/>
  <c r="J28" i="8"/>
  <c r="F25" i="8" l="1"/>
  <c r="G25" i="8"/>
  <c r="I26" i="8" s="1"/>
  <c r="K11" i="9"/>
  <c r="G24" i="8"/>
  <c r="F24" i="8"/>
  <c r="H24" i="8"/>
  <c r="J25" i="8" s="1"/>
  <c r="I25" i="8" l="1"/>
  <c r="K12" i="9"/>
  <c r="F23" i="8"/>
  <c r="H23" i="8"/>
  <c r="G23" i="8"/>
  <c r="I24" i="8" s="1"/>
  <c r="K13" i="9" l="1"/>
  <c r="H22" i="8"/>
  <c r="G22" i="8"/>
  <c r="F22" i="8"/>
  <c r="J24" i="8"/>
  <c r="K14" i="9" l="1"/>
  <c r="H21" i="8"/>
  <c r="G21" i="8"/>
  <c r="F21" i="8"/>
  <c r="I23" i="8"/>
  <c r="J23" i="8"/>
  <c r="K15" i="9" l="1"/>
  <c r="G20" i="8"/>
  <c r="I21" i="8" s="1"/>
  <c r="H20" i="8"/>
  <c r="J21" i="8" s="1"/>
  <c r="F20" i="8"/>
  <c r="F19" i="8" s="1"/>
  <c r="J22" i="8"/>
  <c r="I22" i="8"/>
  <c r="K16" i="9" l="1"/>
  <c r="G19" i="8"/>
  <c r="I20" i="8" s="1"/>
  <c r="H19" i="8"/>
  <c r="J20" i="8" s="1"/>
  <c r="K17" i="9" l="1"/>
  <c r="H18" i="8"/>
  <c r="J18" i="8" s="1"/>
  <c r="G18" i="8"/>
  <c r="K18" i="9" l="1"/>
  <c r="J19" i="8"/>
  <c r="B15" i="8" s="1"/>
  <c r="I19" i="8"/>
  <c r="B14" i="8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K19" i="9" l="1"/>
  <c r="K20" i="9" l="1"/>
  <c r="C21" i="10" s="1"/>
  <c r="D21" i="10" s="1"/>
  <c r="C19" i="10"/>
  <c r="D19" i="10" s="1"/>
  <c r="C11" i="10"/>
  <c r="D11" i="10" s="1"/>
  <c r="C15" i="10"/>
  <c r="D15" i="10" s="1"/>
  <c r="C20" i="10"/>
  <c r="D20" i="10" s="1"/>
  <c r="C10" i="10"/>
  <c r="D10" i="10" s="1"/>
  <c r="C13" i="10"/>
  <c r="D13" i="10" s="1"/>
  <c r="C14" i="10"/>
  <c r="D14" i="10" s="1"/>
  <c r="C16" i="10"/>
  <c r="D16" i="10" s="1"/>
  <c r="C18" i="10"/>
  <c r="D18" i="10" s="1"/>
  <c r="C12" i="10"/>
  <c r="D12" i="10" s="1"/>
  <c r="K8" i="9"/>
  <c r="C9" i="10" s="1"/>
  <c r="D9" i="10" s="1"/>
  <c r="K21" i="9" l="1"/>
  <c r="C22" i="10" s="1"/>
  <c r="D22" i="10" s="1"/>
  <c r="C17" i="10"/>
  <c r="D17" i="10" s="1"/>
  <c r="K22" i="9" l="1"/>
  <c r="C23" i="10" s="1"/>
  <c r="D23" i="10" s="1"/>
  <c r="E11" i="10"/>
  <c r="K23" i="9" l="1"/>
  <c r="C24" i="10" s="1"/>
  <c r="D24" i="10" s="1"/>
  <c r="E12" i="10"/>
  <c r="K24" i="9" l="1"/>
  <c r="C25" i="10" s="1"/>
  <c r="D25" i="10" s="1"/>
  <c r="E13" i="10"/>
  <c r="K25" i="9" l="1"/>
  <c r="C26" i="10" s="1"/>
  <c r="D26" i="10" s="1"/>
  <c r="E14" i="10"/>
  <c r="K26" i="9" l="1"/>
  <c r="C27" i="10" s="1"/>
  <c r="D27" i="10" s="1"/>
  <c r="E16" i="10"/>
  <c r="K27" i="9" l="1"/>
  <c r="C28" i="10" s="1"/>
  <c r="D28" i="10" s="1"/>
  <c r="E17" i="10"/>
  <c r="K28" i="9" l="1"/>
  <c r="C29" i="10" s="1"/>
  <c r="D29" i="10" s="1"/>
  <c r="E18" i="10"/>
  <c r="K29" i="9" l="1"/>
  <c r="C30" i="10" s="1"/>
  <c r="D30" i="10" s="1"/>
  <c r="E19" i="10"/>
  <c r="K30" i="9" l="1"/>
  <c r="C31" i="10" s="1"/>
  <c r="D31" i="10" s="1"/>
  <c r="E20" i="10"/>
  <c r="K31" i="9" l="1"/>
  <c r="C32" i="10" s="1"/>
  <c r="D32" i="10" s="1"/>
  <c r="E21" i="10"/>
  <c r="K32" i="9" l="1"/>
  <c r="C33" i="10" s="1"/>
  <c r="D33" i="10" s="1"/>
  <c r="E22" i="10"/>
  <c r="K33" i="9" l="1"/>
  <c r="C34" i="10" s="1"/>
  <c r="D34" i="10" s="1"/>
  <c r="E23" i="10"/>
  <c r="K34" i="9" l="1"/>
  <c r="C35" i="10" s="1"/>
  <c r="D35" i="10" s="1"/>
  <c r="E24" i="10"/>
  <c r="K35" i="9" l="1"/>
  <c r="C36" i="10" s="1"/>
  <c r="D36" i="10" s="1"/>
  <c r="E25" i="10"/>
  <c r="K36" i="9" l="1"/>
  <c r="C37" i="10" s="1"/>
  <c r="D37" i="10" s="1"/>
  <c r="E26" i="10"/>
  <c r="K37" i="9" l="1"/>
  <c r="C38" i="10" s="1"/>
  <c r="D38" i="10" s="1"/>
  <c r="E27" i="10"/>
  <c r="K38" i="9" l="1"/>
  <c r="C39" i="10" s="1"/>
  <c r="D39" i="10" s="1"/>
  <c r="E28" i="10"/>
  <c r="K39" i="9" l="1"/>
  <c r="C40" i="10" s="1"/>
  <c r="D40" i="10" s="1"/>
  <c r="E29" i="10"/>
  <c r="K40" i="9" l="1"/>
  <c r="C41" i="10" s="1"/>
  <c r="D41" i="10" s="1"/>
  <c r="E30" i="10"/>
  <c r="K41" i="9" l="1"/>
  <c r="C42" i="10" s="1"/>
  <c r="D42" i="10" s="1"/>
  <c r="E31" i="10"/>
  <c r="K43" i="9" l="1"/>
  <c r="C44" i="10" s="1"/>
  <c r="D44" i="10" s="1"/>
  <c r="K42" i="9"/>
  <c r="C43" i="10" s="1"/>
  <c r="D43" i="10" s="1"/>
  <c r="E32" i="10"/>
  <c r="E33" i="10" l="1"/>
  <c r="E34" i="10" l="1"/>
  <c r="E35" i="10" l="1"/>
  <c r="E36" i="10" l="1"/>
  <c r="E37" i="10" l="1"/>
  <c r="E39" i="10" l="1"/>
  <c r="E40" i="10" l="1"/>
  <c r="E41" i="10" l="1"/>
  <c r="E42" i="10" l="1"/>
  <c r="E43" i="10" l="1"/>
  <c r="E44" i="10" l="1"/>
</calcChain>
</file>

<file path=xl/sharedStrings.xml><?xml version="1.0" encoding="utf-8"?>
<sst xmlns="http://schemas.openxmlformats.org/spreadsheetml/2006/main" count="149" uniqueCount="139">
  <si>
    <t>INFORMAÇÕES PRELIMINARES</t>
  </si>
  <si>
    <t>CONTRIBUIÇÕES FUTURAS DE APOSENTADOS  E PENSIONISTAS -  BENEFÍCIOS CONCEDIDOS</t>
  </si>
  <si>
    <t>CONTRIBUIÇÕES FUTURAS DO ENTE - BENEFÍCIOS A CONCEDER</t>
  </si>
  <si>
    <t>CONTRIBUIÇÕES FUTURAS DOS ATIVOS - BENEFÍCIOS A CONCEDER</t>
  </si>
  <si>
    <t>CONTRIB. FUT. APOSENTADOS - BENEF. A CONCEDER</t>
  </si>
  <si>
    <t>CONTRIB. FUT. PENSIONISTAS - BENEF. A CONCEDER</t>
  </si>
  <si>
    <t>OUTRAS RECEITAS - BENEF. A CONCEDER</t>
  </si>
  <si>
    <t>TOTAL</t>
  </si>
  <si>
    <t>ENCARGOS - BENEFÍCIOS CONCEDIDOS</t>
  </si>
  <si>
    <t>ENCARGOS - BENEFÍCIOS A CONCEDER</t>
  </si>
  <si>
    <t>RESULTADOS</t>
  </si>
  <si>
    <t>Instante</t>
  </si>
  <si>
    <t>Ano</t>
  </si>
  <si>
    <t>Taxa de Juros (%)</t>
  </si>
  <si>
    <t>Fator de Desconto</t>
  </si>
  <si>
    <t>Base de Cálculo da Contribuição Normal</t>
  </si>
  <si>
    <t>Benefícios Concedidos - Contribuições dos Aposentados</t>
  </si>
  <si>
    <t>Benefícios Concedidos - Contribuições Futuras dos Aposentados - Aposentadorias Programadas</t>
  </si>
  <si>
    <t>Benefícios Concedidos - Contribuições Futuras dos Aposentados - Aposentadorias Especiais de Professores</t>
  </si>
  <si>
    <t>Benefícios Concedidos - Contribuições Futuras dos Aposentados - Outras Aposentadorias Especiais</t>
  </si>
  <si>
    <t>Benefícios Concedidos - Contribuições Futuras dos Aposentados - Aposentadorias por Invalidez</t>
  </si>
  <si>
    <t>Benefícios Concedidos - Contribuições  dos Pensionistas</t>
  </si>
  <si>
    <t>Benefícios Concedidos - Compensação Previdenciária a Receber</t>
  </si>
  <si>
    <t>Benefícios a Conceder - Contribuições do Ente</t>
  </si>
  <si>
    <t>Benefícios a Conceder - Contribuições Futuras do Ente  - Aposentadorias Programadas</t>
  </si>
  <si>
    <t>Benefícios a Conceder - Contribuições Futuras do Ente  - Aposentadorias Especiais de Professores</t>
  </si>
  <si>
    <t>Benefícios a Conceder - Contribuições Futuras do Ente  - Outras Aposentadorias Especiais</t>
  </si>
  <si>
    <t>Benefícios a Conceder - Contribuições Futuras do Ente  - Aposentadorias por Invalidez</t>
  </si>
  <si>
    <t>Benefícios a Conceder - Contribuições Futuras do Ente  - Pensões Por Morte de Servidores em Atividade</t>
  </si>
  <si>
    <t>Benefícios a Conceder - Contribuições Futuras do Ente  - Pensões Por Morte de Aposentados</t>
  </si>
  <si>
    <t>Benefícios a Conceder - Contribuições Futuras do Ente  -  Outros Benefícios e Auxílios</t>
  </si>
  <si>
    <t>Benefícios a Conceder - Contribuições dos Segurados Ativos</t>
  </si>
  <si>
    <t>Benefícios a Conceder - Contribuições Futuras dos Segurados Ativos - Aposentadorias Programadas</t>
  </si>
  <si>
    <t>Benefícios a Conceder - Contribuições Futuras dos Segurados Ativos - Aposentadorias Especiais de Professores</t>
  </si>
  <si>
    <t>Benefícios a Conceder - Contribuições Futuras dos Segurados Ativos - Outras Aposentadorias Especiais</t>
  </si>
  <si>
    <t>Benefícios a Conceder - Contribuições Futuras dos Segurados Ativos - Aposentadorias por Invalidez</t>
  </si>
  <si>
    <t>Benefícios a Conceder - Contribuições Futuras dos Segurados Ativos  - Pensões Por Morte de Segurados em Atividade</t>
  </si>
  <si>
    <t>Benefícios a Conceder - Contribuições Futuras dos Segurados Ativos - Pensões Por Morte de Aposentados</t>
  </si>
  <si>
    <t>Benefícios a Conceder - Contribuições Futuras dos Segurados Ativos  -  Outros Benefícios e Auxílios</t>
  </si>
  <si>
    <t>Benefícios a Conceder - Contribuições dos Aposentados</t>
  </si>
  <si>
    <t>Benefícios a Conceder - Contribuições Futuras dos Aposentados  - Aposentadorias Programadas</t>
  </si>
  <si>
    <t>Benefícios a Conceder - Contribuições Futuras dos Aposentados  - Aposentadorias Especiais de Professores</t>
  </si>
  <si>
    <t>Benefícios a Conceder - Contribuições Futuras dos Aposentados  - Outras Aposentadorias Especiais</t>
  </si>
  <si>
    <t>Benefícios a Conceder - Contribuições Futuras dos Aposentados  - Aposentadorias por Invalidez</t>
  </si>
  <si>
    <t>Benefícios a Conceder - Contribuições dos Pensionistas</t>
  </si>
  <si>
    <t>Benefícios a Conceder - Contribuições Futuras dos Pensionistas - Aposentadorias Programadas</t>
  </si>
  <si>
    <t>Benefícios a Conceder - Contribuições Futuras dos Pensionistas - Aposentadorias Especiais de Professores</t>
  </si>
  <si>
    <t>Benefícios a Conceder - Contribuições Futuras dos Pensionistas - Outras Aposentadorias Especiais</t>
  </si>
  <si>
    <t>Benefícios a Conceder - Contribuições Futuras dos Pensionistas - Aposentadorias por Invalidez</t>
  </si>
  <si>
    <t>Benefícios a Conceder - Contribuições Futuras dos Pensionistas - Pensões Por Morte de Segurados em Atividade</t>
  </si>
  <si>
    <t>Benefícios a Conceder - Compensação Previdenciária a Receber</t>
  </si>
  <si>
    <t>Plano de Amortização do Déficit Atuarial estabelecido em lei</t>
  </si>
  <si>
    <t>Parcelamentos de Débitos Previdenciários</t>
  </si>
  <si>
    <t>Valor Atual da Cobertura da Insuficiência Financeira (Outras Receitas)</t>
  </si>
  <si>
    <t>(A) TOTAL DAS RECEITAS COM CONTRIBUIÇÕES E COMPENSAÇÃO PREVIDENCIÁRIA</t>
  </si>
  <si>
    <t>Benefícios Concedidos -  Encargos</t>
  </si>
  <si>
    <t>Benefícios Concedidos - Encargos - Aposentadorias Programadas</t>
  </si>
  <si>
    <t>Benefícios Concedidos - Encargos - Aposentadorias Especiais de Professores</t>
  </si>
  <si>
    <t>Benefícios Concedidos - Encargos - Outras Aposentadorias Especiais</t>
  </si>
  <si>
    <t>Benefícios Concedidos - Encargos - Aposentadorias por Invalidez</t>
  </si>
  <si>
    <t>Benefícios Concedidos - Encargos - Pensões Por Morte</t>
  </si>
  <si>
    <t>Benefícios Concedidos - Encargos - Compensação Previdenciária a Pagar</t>
  </si>
  <si>
    <t>Benefícios a Conceder - Encargos</t>
  </si>
  <si>
    <t>Benefícios a Conceder - Encargos -  Aposentadorias Programadas</t>
  </si>
  <si>
    <t>Benefícios a Conceder - Encargos -  Aposentadorias Especiais de Professores</t>
  </si>
  <si>
    <t>Benefícios a Conceder - Encargos -  Outras Aposentadorias Especiais</t>
  </si>
  <si>
    <t>Benefícios a Conceder - Encargos -  Aposentadorias por Invalidez</t>
  </si>
  <si>
    <t>Benefícios a Conceder - Encargos -  Pensões Por Morte de Servidores em Atividade</t>
  </si>
  <si>
    <t>Benefícios a Conceder - Encargos -  Pensões Por Morte de Aposentados</t>
  </si>
  <si>
    <t>Benefícios a Conceder - Encargos -  Outros Benefícios e Auxílios</t>
  </si>
  <si>
    <t>Benefícios a Conceder - Encargos -  Compensação Previdenciária a Pagar</t>
  </si>
  <si>
    <t>Outras Despesas</t>
  </si>
  <si>
    <t>(B) TOTAL  DAS DESPESAS COM BENEFÍCIOS DO PLANO</t>
  </si>
  <si>
    <t>(C) INSUFICIÊNCIA OU EXCEDENTE FINANCEIRO (A-B)</t>
  </si>
  <si>
    <t>(D) SALDO ACUMULADO DO EXERCÍCIO  A VALOR ATUAL</t>
  </si>
  <si>
    <t>(E) RENTABILIDADE ESPERADA (%)</t>
  </si>
  <si>
    <t>Totais de Controle:</t>
  </si>
  <si>
    <t>Totais de Controle  a Valor Atual:</t>
  </si>
  <si>
    <t>Duração do Passivo</t>
  </si>
  <si>
    <t>( H ) BENEFÍCIOS LÍQUIDOS A VALOR PRESENTE</t>
  </si>
  <si>
    <t>( I ) BENEFÍCIOS LÍQUIDOS PONDERADOS PELO INSTANTE</t>
  </si>
  <si>
    <t>CÁLCULO DURATION</t>
  </si>
  <si>
    <t>Taxa de Juros da avaliação atuarial do exercício anterior:</t>
  </si>
  <si>
    <t>DESPESA COM PESSOAL</t>
  </si>
  <si>
    <t>DESPESAS EXECUTADAS</t>
  </si>
  <si>
    <t>(Últimos 12 Meses)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</si>
  <si>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</si>
  <si>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</si>
  <si>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</si>
  <si>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</si>
  <si>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</si>
  <si>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</si>
  <si>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</si>
  <si>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</si>
  <si>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</si>
  <si>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</si>
  <si>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</si>
  <si>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</si>
  <si>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</si>
  <si>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</si>
  <si>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</si>
  <si>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- &lt;%&gt;</t>
  </si>
  <si>
    <t>LIMITE PRUDENCIAL (parágrafo único, art. 22 da LRF) - &lt;%&gt;</t>
  </si>
  <si>
    <t>LIMITE DE ALERTA (inciso II do § 1º do art. 59 da LRF) - &lt;%&gt;</t>
  </si>
  <si>
    <t>Ano base da Avaliação</t>
  </si>
  <si>
    <t>Data Base:</t>
  </si>
  <si>
    <t>Data Cálculo:</t>
  </si>
  <si>
    <t>Calculado</t>
  </si>
  <si>
    <t>Informado</t>
  </si>
  <si>
    <t>Despesa com Pessoal (exceto RPPS)</t>
  </si>
  <si>
    <t>Dívida Consolidada Líquida – DCL</t>
  </si>
  <si>
    <t>Resultado Atuarial</t>
  </si>
  <si>
    <t>ANO</t>
  </si>
  <si>
    <t>RECEITA CORRENTE LÍQUIDA - RCL</t>
  </si>
  <si>
    <t>DESPESA LÍQUIDA COM PESSOAL</t>
  </si>
  <si>
    <t>Inflação do Ano</t>
  </si>
  <si>
    <t>Inflação Acumulada</t>
  </si>
  <si>
    <t>02 - Incremento do Custeio Especial proposto na RCL projetada do Ente</t>
  </si>
  <si>
    <t>Ente:</t>
  </si>
  <si>
    <t>Impacto do deficit atuarial após a inclusão no Quociente do Limite de Endividamento</t>
  </si>
  <si>
    <t>No.</t>
  </si>
  <si>
    <t>Aposentadorias e Pensões (Códigos 210000 e 220000)</t>
  </si>
  <si>
    <t>Contribuição Patronal (Código 121000 - Todos os Planos)</t>
  </si>
  <si>
    <t>Contribuição Suplementar (Código 130101 - Todos os Planos)</t>
  </si>
  <si>
    <t>Parcelamentos (Código 130201 - Todos os Planos)</t>
  </si>
  <si>
    <t>Insuficiência ou Excedente Financeiro (Código 250001 - Todos os Planos)</t>
  </si>
  <si>
    <t>Despesa com Pessoal - LRF</t>
  </si>
  <si>
    <t>Evolução dos Recursos Garantidores (Código 290001)</t>
  </si>
  <si>
    <t>Impacto da Despesa Total de Pessoal na RCL</t>
  </si>
  <si>
    <t>Relação com Limite Prudencial (Parágrafo único do art. 22 da LRF)</t>
  </si>
  <si>
    <t>Efetividade do Plano de Amortização</t>
  </si>
  <si>
    <t>Pessoal Ativo Efetivo (Código 109001)</t>
  </si>
  <si>
    <t>Indicadores de Viabilidade do Plano de Custeio</t>
  </si>
  <si>
    <t>01 - Crescimento Médio da Receita Corrente Líquida (RCL) e Despesa com Pessoal</t>
  </si>
  <si>
    <t>FLUXO ATUARIAL   -   CIVIL   -   PLANO PREVIDENCIÁRIO   -   BENEFÍCIOS AVALIADOS EM REGIME FINANCEIRO DE CAPITALIZAÇÃO   -   GERAÇÃO ATUAL</t>
  </si>
  <si>
    <t>(F) RENTABILIDADE
 (dos Ativos que compõem os Recursos Garantidores)</t>
  </si>
  <si>
    <r>
      <t>(G) EVOLUÇÃO DOS RECURSOS GARANTIDORES
 (I</t>
    </r>
    <r>
      <rPr>
        <b/>
        <sz val="11"/>
        <rFont val="Arial Narrow"/>
        <family val="2"/>
        <charset val="1"/>
      </rPr>
      <t>nformar o valor acumulado na data da avaliação)</t>
    </r>
  </si>
  <si>
    <t xml:space="preserve">   Despesas custeadas com recursos financeiros repassados pela União para pagamento do vencimento ou de qualquer outra vantagem dos agentes comunitários de saúde e dos agentes de combate às endemias (§11, EC 120/2022)</t>
  </si>
  <si>
    <t>Toledo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</si>
</sst>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_-* #,##0.00_-;\-* #,##0.00_-;_-* \-??_-;_-@_-"/>
    <numFmt numFmtId="166" formatCode="#,##0.00###"/>
    <numFmt numFmtId="167" formatCode="#,##0.00_ ;[Red]\-#,##0.00\ "/>
    <numFmt numFmtId="168" formatCode="_(* #,##0.00_);_(* \(#,##0.00\);_(* &quot;-&quot;??_);_(@_)"/>
    <numFmt numFmtId="169" formatCode="0.00000"/>
  </numFmts>
  <fonts count="34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20"/>
      <name val="Arial Narrow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FF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FF"/>
      <name val="Arial Narrow"/>
      <family val="2"/>
      <charset val="1"/>
    </font>
    <font>
      <sz val="10"/>
      <name val="Mangal"/>
      <family val="2"/>
      <charset val="1"/>
    </font>
    <font>
      <b/>
      <sz val="12"/>
      <color rgb="FFFFFFFF"/>
      <name val="Arial Narrow"/>
      <family val="2"/>
      <charset val="1"/>
    </font>
    <font>
      <b/>
      <sz val="12"/>
      <color rgb="FF0000CC"/>
      <name val="Arial Narrow"/>
      <family val="2"/>
      <charset val="1"/>
    </font>
    <font>
      <sz val="12"/>
      <color rgb="FF0000FF"/>
      <name val="Arial Narrow"/>
      <family val="2"/>
      <charset val="1"/>
    </font>
    <font>
      <sz val="12"/>
      <name val="Arial Narrow"/>
      <family val="2"/>
      <charset val="1"/>
    </font>
    <font>
      <b/>
      <sz val="10"/>
      <color rgb="FFFFFFFF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6"/>
      <name val="Arial Narrow"/>
      <family val="2"/>
      <charset val="1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 Narrow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BFBFBF"/>
        <bgColor rgb="FFD6DCE5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D6DCE5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8">
    <xf numFmtId="0" fontId="0" fillId="0" borderId="0"/>
    <xf numFmtId="165" fontId="10" fillId="0" borderId="0" applyBorder="0" applyProtection="0"/>
    <xf numFmtId="9" fontId="10" fillId="0" borderId="0" applyBorder="0" applyProtection="0"/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230">
    <xf numFmtId="0" fontId="0" fillId="0" borderId="0" xfId="0"/>
    <xf numFmtId="0" fontId="3" fillId="3" borderId="3" xfId="2" applyNumberFormat="1" applyFont="1" applyFill="1" applyBorder="1" applyProtection="1"/>
    <xf numFmtId="0" fontId="5" fillId="3" borderId="4" xfId="2" applyNumberFormat="1" applyFont="1" applyFill="1" applyBorder="1" applyProtection="1"/>
    <xf numFmtId="164" fontId="5" fillId="3" borderId="4" xfId="2" applyNumberFormat="1" applyFont="1" applyFill="1" applyBorder="1" applyProtection="1"/>
    <xf numFmtId="0" fontId="5" fillId="3" borderId="5" xfId="2" applyNumberFormat="1" applyFont="1" applyFill="1" applyBorder="1" applyProtection="1"/>
    <xf numFmtId="0" fontId="6" fillId="3" borderId="3" xfId="2" applyNumberFormat="1" applyFont="1" applyFill="1" applyBorder="1" applyProtection="1"/>
    <xf numFmtId="0" fontId="6" fillId="3" borderId="4" xfId="2" applyNumberFormat="1" applyFont="1" applyFill="1" applyBorder="1" applyProtection="1"/>
    <xf numFmtId="0" fontId="7" fillId="3" borderId="4" xfId="2" applyNumberFormat="1" applyFont="1" applyFill="1" applyBorder="1" applyProtection="1"/>
    <xf numFmtId="0" fontId="7" fillId="3" borderId="5" xfId="2" applyNumberFormat="1" applyFont="1" applyFill="1" applyBorder="1" applyProtection="1"/>
    <xf numFmtId="0" fontId="3" fillId="3" borderId="5" xfId="2" applyNumberFormat="1" applyFont="1" applyFill="1" applyBorder="1" applyAlignment="1" applyProtection="1">
      <alignment horizontal="center"/>
    </xf>
    <xf numFmtId="0" fontId="3" fillId="3" borderId="4" xfId="2" applyNumberFormat="1" applyFont="1" applyFill="1" applyBorder="1" applyProtection="1"/>
    <xf numFmtId="0" fontId="3" fillId="3" borderId="5" xfId="2" applyNumberFormat="1" applyFont="1" applyFill="1" applyBorder="1" applyProtection="1"/>
    <xf numFmtId="0" fontId="3" fillId="3" borderId="6" xfId="2" applyNumberFormat="1" applyFont="1" applyFill="1" applyBorder="1" applyAlignment="1" applyProtection="1">
      <alignment horizontal="center"/>
    </xf>
    <xf numFmtId="0" fontId="1" fillId="3" borderId="4" xfId="2" applyNumberFormat="1" applyFont="1" applyFill="1" applyBorder="1" applyProtection="1"/>
    <xf numFmtId="0" fontId="8" fillId="3" borderId="4" xfId="2" applyNumberFormat="1" applyFont="1" applyFill="1" applyBorder="1" applyProtection="1"/>
    <xf numFmtId="0" fontId="1" fillId="3" borderId="5" xfId="2" applyNumberFormat="1" applyFont="1" applyFill="1" applyBorder="1" applyProtection="1"/>
    <xf numFmtId="1" fontId="9" fillId="0" borderId="7" xfId="2" applyNumberFormat="1" applyFont="1" applyBorder="1" applyAlignment="1" applyProtection="1">
      <alignment horizontal="center" vertical="center"/>
    </xf>
    <xf numFmtId="1" fontId="9" fillId="0" borderId="8" xfId="2" applyNumberFormat="1" applyFont="1" applyBorder="1" applyAlignment="1" applyProtection="1">
      <alignment horizontal="center" vertical="center"/>
    </xf>
    <xf numFmtId="1" fontId="9" fillId="4" borderId="8" xfId="2" applyNumberFormat="1" applyFont="1" applyFill="1" applyBorder="1" applyAlignment="1" applyProtection="1">
      <alignment horizontal="center" vertical="center"/>
    </xf>
    <xf numFmtId="1" fontId="2" fillId="4" borderId="8" xfId="2" applyNumberFormat="1" applyFont="1" applyFill="1" applyBorder="1" applyAlignment="1" applyProtection="1">
      <alignment horizontal="center" vertical="center"/>
    </xf>
    <xf numFmtId="1" fontId="3" fillId="0" borderId="8" xfId="2" applyNumberFormat="1" applyFont="1" applyBorder="1" applyAlignment="1" applyProtection="1">
      <alignment horizontal="center" vertical="center"/>
    </xf>
    <xf numFmtId="1" fontId="2" fillId="0" borderId="8" xfId="2" applyNumberFormat="1" applyFont="1" applyBorder="1" applyAlignment="1" applyProtection="1">
      <alignment horizontal="center" vertical="center"/>
    </xf>
    <xf numFmtId="10" fontId="9" fillId="0" borderId="7" xfId="2" applyNumberFormat="1" applyFont="1" applyBorder="1" applyAlignment="1" applyProtection="1">
      <alignment horizontal="center" vertical="center" wrapText="1"/>
    </xf>
    <xf numFmtId="164" fontId="3" fillId="0" borderId="8" xfId="2" applyNumberFormat="1" applyFont="1" applyBorder="1" applyAlignment="1" applyProtection="1">
      <alignment horizontal="center" vertical="center" wrapText="1"/>
    </xf>
    <xf numFmtId="2" fontId="9" fillId="0" borderId="8" xfId="2" applyNumberFormat="1" applyFont="1" applyBorder="1" applyAlignment="1" applyProtection="1">
      <alignment horizontal="center" vertical="center" wrapText="1"/>
    </xf>
    <xf numFmtId="10" fontId="9" fillId="0" borderId="8" xfId="2" applyNumberFormat="1" applyFont="1" applyBorder="1" applyAlignment="1" applyProtection="1">
      <alignment horizontal="center" vertical="center" wrapText="1"/>
    </xf>
    <xf numFmtId="10" fontId="3" fillId="0" borderId="8" xfId="2" applyNumberFormat="1" applyFont="1" applyBorder="1" applyAlignment="1" applyProtection="1">
      <alignment horizontal="center" vertical="center" wrapText="1"/>
    </xf>
    <xf numFmtId="10" fontId="3" fillId="4" borderId="8" xfId="2" applyNumberFormat="1" applyFont="1" applyFill="1" applyBorder="1" applyAlignment="1" applyProtection="1">
      <alignment horizontal="center" vertical="center" wrapText="1"/>
    </xf>
    <xf numFmtId="166" fontId="12" fillId="6" borderId="9" xfId="2" applyNumberFormat="1" applyFont="1" applyFill="1" applyBorder="1" applyAlignment="1" applyProtection="1">
      <alignment horizontal="center"/>
      <protection locked="0"/>
    </xf>
    <xf numFmtId="166" fontId="13" fillId="6" borderId="8" xfId="2" applyNumberFormat="1" applyFont="1" applyFill="1" applyBorder="1" applyAlignment="1" applyProtection="1">
      <alignment horizontal="center"/>
      <protection locked="0"/>
    </xf>
    <xf numFmtId="166" fontId="14" fillId="4" borderId="8" xfId="2" applyNumberFormat="1" applyFont="1" applyFill="1" applyBorder="1" applyAlignment="1" applyProtection="1">
      <alignment horizontal="center"/>
    </xf>
    <xf numFmtId="167" fontId="11" fillId="5" borderId="16" xfId="1" applyNumberFormat="1" applyFont="1" applyFill="1" applyBorder="1" applyAlignment="1" applyProtection="1">
      <alignment horizontal="center"/>
    </xf>
    <xf numFmtId="0" fontId="9" fillId="0" borderId="8" xfId="2" applyNumberFormat="1" applyFont="1" applyBorder="1" applyAlignment="1" applyProtection="1">
      <alignment horizontal="center" vertical="center"/>
    </xf>
    <xf numFmtId="0" fontId="9" fillId="0" borderId="8" xfId="2" applyNumberFormat="1" applyFont="1" applyBorder="1" applyAlignment="1" applyProtection="1">
      <alignment horizontal="center" vertical="center" wrapText="1"/>
    </xf>
    <xf numFmtId="0" fontId="13" fillId="6" borderId="8" xfId="2" applyNumberFormat="1" applyFont="1" applyFill="1" applyBorder="1" applyAlignment="1" applyProtection="1">
      <alignment horizontal="center"/>
      <protection locked="0"/>
    </xf>
    <xf numFmtId="0" fontId="4" fillId="8" borderId="0" xfId="2" applyNumberFormat="1" applyFont="1" applyFill="1" applyAlignment="1" applyProtection="1">
      <alignment horizontal="left"/>
    </xf>
    <xf numFmtId="0" fontId="3" fillId="8" borderId="0" xfId="2" applyNumberFormat="1" applyFont="1" applyFill="1" applyProtection="1"/>
    <xf numFmtId="164" fontId="3" fillId="8" borderId="0" xfId="2" applyNumberFormat="1" applyFont="1" applyFill="1" applyAlignment="1" applyProtection="1">
      <alignment horizontal="center"/>
    </xf>
    <xf numFmtId="0" fontId="3" fillId="7" borderId="0" xfId="2" applyNumberFormat="1" applyFont="1" applyFill="1" applyProtection="1"/>
    <xf numFmtId="0" fontId="11" fillId="5" borderId="8" xfId="2" applyNumberFormat="1" applyFont="1" applyFill="1" applyBorder="1" applyAlignment="1" applyProtection="1">
      <alignment horizontal="center"/>
    </xf>
    <xf numFmtId="166" fontId="14" fillId="0" borderId="8" xfId="2" applyNumberFormat="1" applyFont="1" applyBorder="1" applyAlignment="1" applyProtection="1">
      <alignment horizontal="center"/>
    </xf>
    <xf numFmtId="4" fontId="3" fillId="0" borderId="13" xfId="2" applyNumberFormat="1" applyFont="1" applyBorder="1" applyAlignment="1" applyProtection="1">
      <alignment horizontal="center"/>
    </xf>
    <xf numFmtId="4" fontId="3" fillId="0" borderId="16" xfId="2" applyNumberFormat="1" applyFont="1" applyBorder="1" applyAlignment="1" applyProtection="1">
      <alignment horizontal="center"/>
    </xf>
    <xf numFmtId="0" fontId="2" fillId="0" borderId="0" xfId="2" applyNumberFormat="1" applyFont="1" applyBorder="1" applyProtection="1"/>
    <xf numFmtId="0" fontId="21" fillId="7" borderId="0" xfId="4" applyFont="1" applyFill="1" applyAlignment="1">
      <alignment horizontal="center" vertical="center" wrapText="1"/>
    </xf>
    <xf numFmtId="0" fontId="23" fillId="7" borderId="0" xfId="4" applyFont="1" applyFill="1" applyAlignment="1">
      <alignment horizontal="center" vertical="center" wrapText="1"/>
    </xf>
    <xf numFmtId="0" fontId="18" fillId="7" borderId="0" xfId="4" applyFont="1" applyFill="1" applyAlignment="1">
      <alignment horizontal="center" vertical="center" wrapText="1"/>
    </xf>
    <xf numFmtId="0" fontId="23" fillId="7" borderId="0" xfId="4" applyFont="1" applyFill="1" applyAlignment="1">
      <alignment horizontal="center" vertical="center" textRotation="90" wrapText="1"/>
    </xf>
    <xf numFmtId="0" fontId="21" fillId="7" borderId="7" xfId="6" applyNumberFormat="1" applyFont="1" applyFill="1" applyBorder="1" applyAlignment="1">
      <alignment horizontal="center" vertical="center" wrapText="1"/>
    </xf>
    <xf numFmtId="10" fontId="24" fillId="7" borderId="9" xfId="5" applyNumberFormat="1" applyFont="1" applyFill="1" applyBorder="1" applyAlignment="1">
      <alignment horizontal="center" vertical="center" wrapText="1"/>
    </xf>
    <xf numFmtId="0" fontId="25" fillId="7" borderId="0" xfId="4" applyFont="1" applyFill="1" applyAlignment="1">
      <alignment horizontal="center" vertical="center" wrapText="1"/>
    </xf>
    <xf numFmtId="0" fontId="26" fillId="7" borderId="0" xfId="4" applyFont="1" applyFill="1"/>
    <xf numFmtId="0" fontId="27" fillId="7" borderId="0" xfId="4" applyFont="1" applyFill="1"/>
    <xf numFmtId="0" fontId="26" fillId="7" borderId="0" xfId="4" applyFont="1" applyFill="1" applyAlignment="1">
      <alignment horizontal="center" vertical="center" wrapText="1"/>
    </xf>
    <xf numFmtId="0" fontId="27" fillId="7" borderId="0" xfId="4" applyFont="1" applyFill="1" applyAlignment="1">
      <alignment horizontal="center" vertical="center" wrapText="1"/>
    </xf>
    <xf numFmtId="0" fontId="26" fillId="7" borderId="34" xfId="4" applyFont="1" applyFill="1" applyBorder="1" applyAlignment="1">
      <alignment horizontal="center" vertical="center" wrapText="1"/>
    </xf>
    <xf numFmtId="0" fontId="26" fillId="7" borderId="35" xfId="4" applyFont="1" applyFill="1" applyBorder="1" applyAlignment="1">
      <alignment horizontal="center" vertical="center" wrapText="1"/>
    </xf>
    <xf numFmtId="0" fontId="26" fillId="7" borderId="36" xfId="4" applyFont="1" applyFill="1" applyBorder="1" applyAlignment="1">
      <alignment horizontal="center" vertical="center" wrapText="1"/>
    </xf>
    <xf numFmtId="0" fontId="26" fillId="7" borderId="38" xfId="4" applyFont="1" applyFill="1" applyBorder="1" applyAlignment="1">
      <alignment horizontal="center" vertical="center" wrapText="1"/>
    </xf>
    <xf numFmtId="0" fontId="26" fillId="7" borderId="20" xfId="4" applyFont="1" applyFill="1" applyBorder="1" applyAlignment="1">
      <alignment horizontal="center" vertical="center" wrapText="1"/>
    </xf>
    <xf numFmtId="0" fontId="26" fillId="7" borderId="21" xfId="4" applyFont="1" applyFill="1" applyBorder="1" applyAlignment="1">
      <alignment horizontal="center" vertical="center" wrapText="1"/>
    </xf>
    <xf numFmtId="4" fontId="26" fillId="7" borderId="8" xfId="4" applyNumberFormat="1" applyFont="1" applyFill="1" applyBorder="1" applyAlignment="1">
      <alignment horizontal="center" vertical="center" wrapText="1"/>
    </xf>
    <xf numFmtId="0" fontId="27" fillId="7" borderId="0" xfId="4" applyFont="1" applyFill="1" applyAlignment="1">
      <alignment horizontal="center" vertical="center" textRotation="90" wrapText="1"/>
    </xf>
    <xf numFmtId="0" fontId="26" fillId="7" borderId="7" xfId="6" applyNumberFormat="1" applyFont="1" applyFill="1" applyBorder="1" applyAlignment="1">
      <alignment horizontal="center" vertical="center" wrapText="1"/>
    </xf>
    <xf numFmtId="0" fontId="26" fillId="7" borderId="41" xfId="6" applyNumberFormat="1" applyFont="1" applyFill="1" applyBorder="1" applyAlignment="1">
      <alignment horizontal="center" vertical="center" wrapText="1"/>
    </xf>
    <xf numFmtId="0" fontId="28" fillId="7" borderId="0" xfId="4" applyFont="1" applyFill="1" applyAlignment="1">
      <alignment horizontal="center" vertical="center" wrapText="1"/>
    </xf>
    <xf numFmtId="0" fontId="30" fillId="7" borderId="0" xfId="4" applyFont="1" applyFill="1"/>
    <xf numFmtId="0" fontId="27" fillId="7" borderId="18" xfId="4" applyFont="1" applyFill="1" applyBorder="1" applyAlignment="1">
      <alignment horizontal="center" vertical="center" wrapText="1"/>
    </xf>
    <xf numFmtId="0" fontId="26" fillId="7" borderId="23" xfId="4" applyFont="1" applyFill="1" applyBorder="1" applyAlignment="1">
      <alignment horizontal="center" vertical="center" wrapText="1"/>
    </xf>
    <xf numFmtId="0" fontId="30" fillId="7" borderId="0" xfId="4" applyFont="1" applyFill="1" applyAlignment="1">
      <alignment horizontal="left" vertical="center"/>
    </xf>
    <xf numFmtId="10" fontId="26" fillId="7" borderId="0" xfId="5" applyNumberFormat="1" applyFont="1" applyFill="1" applyBorder="1" applyAlignment="1">
      <alignment horizontal="center" vertical="center" wrapText="1"/>
    </xf>
    <xf numFmtId="4" fontId="26" fillId="11" borderId="8" xfId="4" applyNumberFormat="1" applyFont="1" applyFill="1" applyBorder="1" applyAlignment="1">
      <alignment horizontal="center" vertical="center" wrapText="1"/>
    </xf>
    <xf numFmtId="4" fontId="26" fillId="11" borderId="9" xfId="4" applyNumberFormat="1" applyFont="1" applyFill="1" applyBorder="1" applyAlignment="1">
      <alignment horizontal="center" vertical="center" wrapText="1"/>
    </xf>
    <xf numFmtId="4" fontId="26" fillId="11" borderId="22" xfId="4" applyNumberFormat="1" applyFont="1" applyFill="1" applyBorder="1" applyAlignment="1">
      <alignment horizontal="center" vertical="center" wrapText="1"/>
    </xf>
    <xf numFmtId="168" fontId="26" fillId="11" borderId="8" xfId="6" applyFont="1" applyFill="1" applyBorder="1" applyAlignment="1">
      <alignment horizontal="center" vertical="center" wrapText="1"/>
    </xf>
    <xf numFmtId="10" fontId="26" fillId="11" borderId="8" xfId="5" applyNumberFormat="1" applyFont="1" applyFill="1" applyBorder="1" applyAlignment="1">
      <alignment horizontal="center" vertical="center" wrapText="1"/>
    </xf>
    <xf numFmtId="0" fontId="27" fillId="7" borderId="42" xfId="6" applyNumberFormat="1" applyFont="1" applyFill="1" applyBorder="1" applyAlignment="1">
      <alignment horizontal="center" vertical="center" wrapText="1"/>
    </xf>
    <xf numFmtId="0" fontId="27" fillId="7" borderId="43" xfId="4" applyFont="1" applyFill="1" applyBorder="1" applyAlignment="1">
      <alignment horizontal="center" vertical="center" wrapText="1"/>
    </xf>
    <xf numFmtId="0" fontId="27" fillId="7" borderId="44" xfId="4" applyFont="1" applyFill="1" applyBorder="1" applyAlignment="1">
      <alignment horizontal="center" vertical="center" wrapText="1"/>
    </xf>
    <xf numFmtId="0" fontId="27" fillId="7" borderId="45" xfId="4" applyFont="1" applyFill="1" applyBorder="1" applyAlignment="1">
      <alignment horizontal="center" vertical="center" wrapText="1"/>
    </xf>
    <xf numFmtId="0" fontId="27" fillId="7" borderId="19" xfId="4" applyFont="1" applyFill="1" applyBorder="1" applyAlignment="1">
      <alignment horizontal="center" vertical="center" wrapText="1"/>
    </xf>
    <xf numFmtId="0" fontId="27" fillId="7" borderId="20" xfId="4" applyFont="1" applyFill="1" applyBorder="1" applyAlignment="1">
      <alignment horizontal="center" vertical="center" wrapText="1"/>
    </xf>
    <xf numFmtId="168" fontId="27" fillId="7" borderId="20" xfId="6" applyFont="1" applyFill="1" applyBorder="1" applyAlignment="1">
      <alignment horizontal="center" vertical="center" wrapText="1"/>
    </xf>
    <xf numFmtId="168" fontId="27" fillId="7" borderId="21" xfId="6" applyFont="1" applyFill="1" applyBorder="1" applyAlignment="1">
      <alignment horizontal="center" vertical="center" wrapText="1"/>
    </xf>
    <xf numFmtId="10" fontId="26" fillId="11" borderId="7" xfId="5" applyNumberFormat="1" applyFont="1" applyFill="1" applyBorder="1" applyAlignment="1">
      <alignment horizontal="center" vertical="center" wrapText="1"/>
    </xf>
    <xf numFmtId="10" fontId="26" fillId="11" borderId="9" xfId="5" applyNumberFormat="1" applyFont="1" applyFill="1" applyBorder="1" applyAlignment="1">
      <alignment horizontal="center" vertical="center" wrapText="1"/>
    </xf>
    <xf numFmtId="10" fontId="26" fillId="11" borderId="41" xfId="5" applyNumberFormat="1" applyFont="1" applyFill="1" applyBorder="1" applyAlignment="1">
      <alignment horizontal="center" vertical="center" wrapText="1"/>
    </xf>
    <xf numFmtId="168" fontId="26" fillId="11" borderId="40" xfId="6" applyFont="1" applyFill="1" applyBorder="1" applyAlignment="1">
      <alignment horizontal="center" vertical="center" wrapText="1"/>
    </xf>
    <xf numFmtId="10" fontId="26" fillId="11" borderId="40" xfId="5" applyNumberFormat="1" applyFont="1" applyFill="1" applyBorder="1" applyAlignment="1">
      <alignment horizontal="center" vertical="center" wrapText="1"/>
    </xf>
    <xf numFmtId="10" fontId="26" fillId="11" borderId="22" xfId="5" applyNumberFormat="1" applyFont="1" applyFill="1" applyBorder="1" applyAlignment="1">
      <alignment horizontal="center" vertical="center" wrapText="1"/>
    </xf>
    <xf numFmtId="0" fontId="24" fillId="0" borderId="0" xfId="3" applyFont="1"/>
    <xf numFmtId="0" fontId="26" fillId="0" borderId="0" xfId="3" applyFont="1"/>
    <xf numFmtId="0" fontId="26" fillId="0" borderId="30" xfId="3" applyFont="1" applyBorder="1" applyAlignment="1">
      <alignment horizontal="left"/>
    </xf>
    <xf numFmtId="0" fontId="26" fillId="0" borderId="31" xfId="3" applyFont="1" applyBorder="1"/>
    <xf numFmtId="40" fontId="26" fillId="0" borderId="8" xfId="3" applyNumberFormat="1" applyFont="1" applyBorder="1"/>
    <xf numFmtId="0" fontId="26" fillId="0" borderId="31" xfId="3" applyFont="1" applyBorder="1" applyAlignment="1">
      <alignment horizontal="left"/>
    </xf>
    <xf numFmtId="0" fontId="26" fillId="0" borderId="31" xfId="3" applyFont="1" applyBorder="1" applyAlignment="1">
      <alignment horizontal="left" indent="1"/>
    </xf>
    <xf numFmtId="0" fontId="26" fillId="0" borderId="32" xfId="3" applyFont="1" applyBorder="1" applyAlignment="1">
      <alignment horizontal="left" indent="1"/>
    </xf>
    <xf numFmtId="0" fontId="26" fillId="0" borderId="32" xfId="3" applyFont="1" applyBorder="1"/>
    <xf numFmtId="40" fontId="26" fillId="0" borderId="33" xfId="3" applyNumberFormat="1" applyFont="1" applyBorder="1"/>
    <xf numFmtId="0" fontId="26" fillId="10" borderId="31" xfId="3" applyFont="1" applyFill="1" applyBorder="1"/>
    <xf numFmtId="10" fontId="26" fillId="7" borderId="0" xfId="5" applyNumberFormat="1" applyFont="1" applyFill="1"/>
    <xf numFmtId="10" fontId="27" fillId="7" borderId="0" xfId="5" applyNumberFormat="1" applyFont="1" applyFill="1"/>
    <xf numFmtId="0" fontId="27" fillId="7" borderId="19" xfId="6" applyNumberFormat="1" applyFont="1" applyFill="1" applyBorder="1" applyAlignment="1">
      <alignment horizontal="center" vertical="center" wrapText="1"/>
    </xf>
    <xf numFmtId="0" fontId="27" fillId="7" borderId="20" xfId="6" applyNumberFormat="1" applyFont="1" applyFill="1" applyBorder="1" applyAlignment="1">
      <alignment horizontal="center" vertical="center" wrapText="1"/>
    </xf>
    <xf numFmtId="0" fontId="27" fillId="7" borderId="20" xfId="4" applyFont="1" applyFill="1" applyBorder="1" applyAlignment="1">
      <alignment vertical="center" wrapText="1"/>
    </xf>
    <xf numFmtId="10" fontId="27" fillId="7" borderId="20" xfId="4" applyNumberFormat="1" applyFont="1" applyFill="1" applyBorder="1" applyAlignment="1">
      <alignment horizontal="center" vertical="center" wrapText="1"/>
    </xf>
    <xf numFmtId="0" fontId="27" fillId="7" borderId="21" xfId="4" applyFont="1" applyFill="1" applyBorder="1" applyAlignment="1">
      <alignment horizontal="center" vertical="center" wrapText="1"/>
    </xf>
    <xf numFmtId="10" fontId="27" fillId="7" borderId="0" xfId="5" applyNumberFormat="1" applyFont="1" applyFill="1" applyBorder="1" applyAlignment="1">
      <alignment horizontal="center" vertical="center" textRotation="90" wrapText="1"/>
    </xf>
    <xf numFmtId="0" fontId="26" fillId="11" borderId="7" xfId="6" applyNumberFormat="1" applyFont="1" applyFill="1" applyBorder="1" applyAlignment="1">
      <alignment horizontal="center" vertical="center" wrapText="1"/>
    </xf>
    <xf numFmtId="0" fontId="26" fillId="11" borderId="8" xfId="6" applyNumberFormat="1" applyFont="1" applyFill="1" applyBorder="1" applyAlignment="1">
      <alignment horizontal="center" vertical="center" wrapText="1"/>
    </xf>
    <xf numFmtId="0" fontId="26" fillId="11" borderId="41" xfId="6" applyNumberFormat="1" applyFont="1" applyFill="1" applyBorder="1" applyAlignment="1">
      <alignment horizontal="center" vertical="center" wrapText="1"/>
    </xf>
    <xf numFmtId="0" fontId="26" fillId="11" borderId="40" xfId="6" applyNumberFormat="1" applyFont="1" applyFill="1" applyBorder="1" applyAlignment="1">
      <alignment horizontal="center" vertical="center" wrapText="1"/>
    </xf>
    <xf numFmtId="168" fontId="26" fillId="11" borderId="8" xfId="4" applyNumberFormat="1" applyFont="1" applyFill="1" applyBorder="1" applyAlignment="1">
      <alignment horizontal="center" vertical="center" wrapText="1"/>
    </xf>
    <xf numFmtId="168" fontId="26" fillId="11" borderId="9" xfId="4" applyNumberFormat="1" applyFont="1" applyFill="1" applyBorder="1" applyAlignment="1">
      <alignment horizontal="center" vertical="center" wrapText="1"/>
    </xf>
    <xf numFmtId="0" fontId="24" fillId="7" borderId="8" xfId="6" applyNumberFormat="1" applyFont="1" applyFill="1" applyBorder="1" applyAlignment="1">
      <alignment horizontal="center" vertical="center" wrapText="1"/>
    </xf>
    <xf numFmtId="10" fontId="24" fillId="7" borderId="8" xfId="5" applyNumberFormat="1" applyFont="1" applyFill="1" applyBorder="1" applyAlignment="1">
      <alignment horizontal="center" vertical="center" wrapText="1"/>
    </xf>
    <xf numFmtId="0" fontId="21" fillId="7" borderId="41" xfId="6" applyNumberFormat="1" applyFont="1" applyFill="1" applyBorder="1" applyAlignment="1">
      <alignment horizontal="center" vertical="center" wrapText="1"/>
    </xf>
    <xf numFmtId="0" fontId="24" fillId="7" borderId="40" xfId="6" applyNumberFormat="1" applyFont="1" applyFill="1" applyBorder="1" applyAlignment="1">
      <alignment horizontal="center" vertical="center" wrapText="1"/>
    </xf>
    <xf numFmtId="10" fontId="24" fillId="7" borderId="40" xfId="5" applyNumberFormat="1" applyFont="1" applyFill="1" applyBorder="1" applyAlignment="1">
      <alignment horizontal="center" vertical="center" wrapText="1"/>
    </xf>
    <xf numFmtId="10" fontId="24" fillId="7" borderId="22" xfId="5" applyNumberFormat="1" applyFont="1" applyFill="1" applyBorder="1" applyAlignment="1">
      <alignment horizontal="center" vertical="center" wrapText="1"/>
    </xf>
    <xf numFmtId="0" fontId="21" fillId="7" borderId="46" xfId="6" applyNumberFormat="1" applyFont="1" applyFill="1" applyBorder="1" applyAlignment="1">
      <alignment horizontal="center" vertical="center" wrapText="1"/>
    </xf>
    <xf numFmtId="0" fontId="24" fillId="7" borderId="33" xfId="6" applyNumberFormat="1" applyFont="1" applyFill="1" applyBorder="1" applyAlignment="1">
      <alignment horizontal="center" vertical="center" wrapText="1"/>
    </xf>
    <xf numFmtId="10" fontId="24" fillId="7" borderId="33" xfId="5" applyNumberFormat="1" applyFont="1" applyFill="1" applyBorder="1" applyAlignment="1">
      <alignment horizontal="center" vertical="center" wrapText="1"/>
    </xf>
    <xf numFmtId="10" fontId="24" fillId="7" borderId="47" xfId="5" applyNumberFormat="1" applyFont="1" applyFill="1" applyBorder="1" applyAlignment="1">
      <alignment horizontal="center" vertical="center" wrapText="1"/>
    </xf>
    <xf numFmtId="0" fontId="20" fillId="7" borderId="0" xfId="4" applyFont="1" applyFill="1" applyAlignment="1">
      <alignment horizontal="center"/>
    </xf>
    <xf numFmtId="0" fontId="19" fillId="7" borderId="0" xfId="4" applyFill="1" applyAlignment="1">
      <alignment horizontal="center"/>
    </xf>
    <xf numFmtId="0" fontId="22" fillId="7" borderId="0" xfId="4" applyFont="1" applyFill="1" applyAlignment="1">
      <alignment horizontal="center"/>
    </xf>
    <xf numFmtId="0" fontId="18" fillId="7" borderId="0" xfId="4" applyFont="1" applyFill="1" applyAlignment="1">
      <alignment horizontal="center"/>
    </xf>
    <xf numFmtId="0" fontId="23" fillId="7" borderId="12" xfId="6" applyNumberFormat="1" applyFont="1" applyFill="1" applyBorder="1" applyAlignment="1">
      <alignment horizontal="center" vertical="center" wrapText="1"/>
    </xf>
    <xf numFmtId="0" fontId="23" fillId="7" borderId="13" xfId="6" applyNumberFormat="1" applyFont="1" applyFill="1" applyBorder="1" applyAlignment="1">
      <alignment horizontal="center" vertical="center" wrapText="1"/>
    </xf>
    <xf numFmtId="10" fontId="23" fillId="7" borderId="13" xfId="4" applyNumberFormat="1" applyFont="1" applyFill="1" applyBorder="1" applyAlignment="1">
      <alignment horizontal="center" vertical="center" wrapText="1"/>
    </xf>
    <xf numFmtId="0" fontId="23" fillId="7" borderId="13" xfId="4" applyFont="1" applyFill="1" applyBorder="1" applyAlignment="1">
      <alignment horizontal="center" vertical="center" wrapText="1"/>
    </xf>
    <xf numFmtId="0" fontId="23" fillId="7" borderId="14" xfId="4" applyFont="1" applyFill="1" applyBorder="1" applyAlignment="1">
      <alignment horizontal="center" vertical="center" wrapText="1"/>
    </xf>
    <xf numFmtId="0" fontId="20" fillId="7" borderId="0" xfId="4" applyFont="1" applyFill="1" applyAlignment="1">
      <alignment horizontal="left"/>
    </xf>
    <xf numFmtId="0" fontId="21" fillId="7" borderId="0" xfId="4" applyFont="1" applyFill="1" applyAlignment="1">
      <alignment horizontal="left" vertical="center" wrapText="1"/>
    </xf>
    <xf numFmtId="0" fontId="27" fillId="10" borderId="8" xfId="3" applyFont="1" applyFill="1" applyBorder="1" applyAlignment="1">
      <alignment horizontal="center"/>
    </xf>
    <xf numFmtId="40" fontId="27" fillId="10" borderId="8" xfId="3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7" fillId="10" borderId="11" xfId="3" applyFont="1" applyFill="1" applyBorder="1" applyAlignment="1">
      <alignment horizontal="center"/>
    </xf>
    <xf numFmtId="0" fontId="27" fillId="10" borderId="33" xfId="3" applyFont="1" applyFill="1" applyBorder="1" applyAlignment="1">
      <alignment horizontal="center"/>
    </xf>
    <xf numFmtId="0" fontId="18" fillId="7" borderId="49" xfId="4" applyFont="1" applyFill="1" applyBorder="1" applyAlignment="1">
      <alignment horizontal="center" vertical="center"/>
    </xf>
    <xf numFmtId="0" fontId="18" fillId="7" borderId="50" xfId="4" applyFont="1" applyFill="1" applyBorder="1" applyAlignment="1">
      <alignment horizontal="center" vertical="center"/>
    </xf>
    <xf numFmtId="0" fontId="18" fillId="7" borderId="36" xfId="4" applyFont="1" applyFill="1" applyBorder="1" applyAlignment="1">
      <alignment horizontal="left" vertical="center"/>
    </xf>
    <xf numFmtId="0" fontId="18" fillId="7" borderId="38" xfId="4" applyFont="1" applyFill="1" applyBorder="1" applyAlignment="1">
      <alignment horizontal="left" vertical="center"/>
    </xf>
    <xf numFmtId="0" fontId="26" fillId="7" borderId="7" xfId="4" applyFont="1" applyFill="1" applyBorder="1" applyAlignment="1">
      <alignment horizontal="left" vertical="center" wrapText="1"/>
    </xf>
    <xf numFmtId="0" fontId="26" fillId="7" borderId="41" xfId="4" applyFont="1" applyFill="1" applyBorder="1" applyAlignment="1">
      <alignment horizontal="left" vertical="center" wrapText="1"/>
    </xf>
    <xf numFmtId="0" fontId="4" fillId="2" borderId="0" xfId="2" applyNumberFormat="1" applyFont="1" applyFill="1" applyAlignment="1" applyProtection="1">
      <alignment horizontal="left"/>
    </xf>
    <xf numFmtId="0" fontId="3" fillId="2" borderId="0" xfId="2" applyNumberFormat="1" applyFont="1" applyFill="1" applyProtection="1"/>
    <xf numFmtId="164" fontId="3" fillId="2" borderId="0" xfId="2" applyNumberFormat="1" applyFont="1" applyFill="1" applyAlignment="1" applyProtection="1">
      <alignment horizontal="center"/>
    </xf>
    <xf numFmtId="0" fontId="3" fillId="0" borderId="0" xfId="2" applyNumberFormat="1" applyFont="1" applyProtection="1"/>
    <xf numFmtId="0" fontId="17" fillId="8" borderId="23" xfId="2" applyNumberFormat="1" applyFont="1" applyFill="1" applyBorder="1" applyAlignment="1" applyProtection="1">
      <alignment horizontal="left"/>
    </xf>
    <xf numFmtId="0" fontId="17" fillId="8" borderId="19" xfId="2" applyNumberFormat="1" applyFont="1" applyFill="1" applyBorder="1" applyProtection="1"/>
    <xf numFmtId="0" fontId="3" fillId="7" borderId="20" xfId="2" applyNumberFormat="1" applyFont="1" applyFill="1" applyBorder="1" applyProtection="1"/>
    <xf numFmtId="9" fontId="17" fillId="8" borderId="21" xfId="2" applyFont="1" applyFill="1" applyBorder="1" applyAlignment="1" applyProtection="1">
      <alignment horizontal="center"/>
      <protection locked="0"/>
    </xf>
    <xf numFmtId="0" fontId="3" fillId="8" borderId="0" xfId="2" applyNumberFormat="1" applyFont="1" applyFill="1" applyProtection="1">
      <protection locked="0"/>
    </xf>
    <xf numFmtId="0" fontId="2" fillId="0" borderId="0" xfId="2" applyNumberFormat="1" applyFont="1"/>
    <xf numFmtId="0" fontId="2" fillId="0" borderId="0" xfId="2" applyNumberFormat="1" applyFont="1" applyProtection="1"/>
    <xf numFmtId="4" fontId="3" fillId="0" borderId="9" xfId="2" applyNumberFormat="1" applyFont="1" applyBorder="1" applyAlignment="1" applyProtection="1">
      <alignment horizontal="center" vertical="center" wrapText="1"/>
    </xf>
    <xf numFmtId="0" fontId="3" fillId="0" borderId="0" xfId="2" applyNumberFormat="1" applyFont="1" applyAlignment="1" applyProtection="1">
      <alignment horizontal="center" vertical="center" wrapText="1"/>
    </xf>
    <xf numFmtId="0" fontId="11" fillId="5" borderId="7" xfId="2" applyNumberFormat="1" applyFont="1" applyFill="1" applyBorder="1"/>
    <xf numFmtId="0" fontId="11" fillId="5" borderId="8" xfId="2" applyNumberFormat="1" applyFont="1" applyFill="1" applyBorder="1"/>
    <xf numFmtId="164" fontId="11" fillId="5" borderId="8" xfId="2" applyNumberFormat="1" applyFont="1" applyFill="1" applyBorder="1" applyAlignment="1">
      <alignment horizontal="center"/>
    </xf>
    <xf numFmtId="0" fontId="11" fillId="5" borderId="8" xfId="2" applyNumberFormat="1" applyFont="1" applyFill="1" applyBorder="1" applyAlignment="1">
      <alignment horizontal="center"/>
    </xf>
    <xf numFmtId="0" fontId="9" fillId="5" borderId="8" xfId="2" applyNumberFormat="1" applyFont="1" applyFill="1" applyBorder="1" applyAlignment="1">
      <alignment horizontal="center"/>
    </xf>
    <xf numFmtId="0" fontId="3" fillId="5" borderId="8" xfId="2" applyNumberFormat="1" applyFont="1" applyFill="1" applyBorder="1" applyAlignment="1">
      <alignment horizontal="center"/>
    </xf>
    <xf numFmtId="3" fontId="13" fillId="6" borderId="7" xfId="2" applyNumberFormat="1" applyFont="1" applyFill="1" applyBorder="1" applyAlignment="1" applyProtection="1">
      <alignment horizontal="center"/>
      <protection locked="0"/>
    </xf>
    <xf numFmtId="166" fontId="14" fillId="0" borderId="8" xfId="2" applyNumberFormat="1" applyFont="1" applyBorder="1" applyAlignment="1">
      <alignment horizontal="center"/>
    </xf>
    <xf numFmtId="166" fontId="14" fillId="0" borderId="9" xfId="2" applyNumberFormat="1" applyFont="1" applyBorder="1" applyAlignment="1">
      <alignment horizontal="center"/>
    </xf>
    <xf numFmtId="3" fontId="14" fillId="0" borderId="7" xfId="2" applyNumberFormat="1" applyFont="1" applyBorder="1" applyAlignment="1" applyProtection="1">
      <alignment horizontal="center"/>
      <protection hidden="1"/>
    </xf>
    <xf numFmtId="0" fontId="14" fillId="0" borderId="8" xfId="2" applyNumberFormat="1" applyFont="1" applyBorder="1" applyAlignment="1" applyProtection="1">
      <alignment horizontal="center"/>
      <protection hidden="1"/>
    </xf>
    <xf numFmtId="3" fontId="14" fillId="0" borderId="10" xfId="2" applyNumberFormat="1" applyFont="1" applyBorder="1" applyAlignment="1" applyProtection="1">
      <alignment horizontal="center"/>
      <protection hidden="1"/>
    </xf>
    <xf numFmtId="0" fontId="14" fillId="0" borderId="11" xfId="2" applyNumberFormat="1" applyFont="1" applyBorder="1" applyAlignment="1" applyProtection="1">
      <alignment horizontal="center"/>
      <protection hidden="1"/>
    </xf>
    <xf numFmtId="166" fontId="13" fillId="6" borderId="11" xfId="2" applyNumberFormat="1" applyFont="1" applyFill="1" applyBorder="1" applyAlignment="1" applyProtection="1">
      <alignment horizontal="center"/>
      <protection locked="0"/>
    </xf>
    <xf numFmtId="1" fontId="15" fillId="5" borderId="12" xfId="2" applyNumberFormat="1" applyFont="1" applyFill="1" applyBorder="1" applyAlignment="1" applyProtection="1">
      <alignment horizontal="left"/>
      <protection hidden="1"/>
    </xf>
    <xf numFmtId="0" fontId="11" fillId="5" borderId="13" xfId="2" applyNumberFormat="1" applyFont="1" applyFill="1" applyBorder="1" applyProtection="1">
      <protection hidden="1"/>
    </xf>
    <xf numFmtId="0" fontId="16" fillId="5" borderId="13" xfId="0" applyFont="1" applyFill="1" applyBorder="1"/>
    <xf numFmtId="164" fontId="16" fillId="5" borderId="13" xfId="0" applyNumberFormat="1" applyFont="1" applyFill="1" applyBorder="1"/>
    <xf numFmtId="4" fontId="3" fillId="0" borderId="13" xfId="2" applyNumberFormat="1" applyFont="1" applyBorder="1" applyAlignment="1">
      <alignment horizontal="center"/>
    </xf>
    <xf numFmtId="167" fontId="11" fillId="5" borderId="13" xfId="1" applyNumberFormat="1" applyFont="1" applyFill="1" applyBorder="1" applyAlignment="1" applyProtection="1">
      <alignment horizontal="center"/>
    </xf>
    <xf numFmtId="0" fontId="8" fillId="5" borderId="13" xfId="0" applyFont="1" applyFill="1" applyBorder="1"/>
    <xf numFmtId="0" fontId="16" fillId="5" borderId="14" xfId="0" applyFont="1" applyFill="1" applyBorder="1"/>
    <xf numFmtId="0" fontId="3" fillId="0" borderId="0" xfId="2" applyNumberFormat="1" applyFont="1"/>
    <xf numFmtId="1" fontId="15" fillId="5" borderId="15" xfId="2" applyNumberFormat="1" applyFont="1" applyFill="1" applyBorder="1" applyAlignment="1" applyProtection="1">
      <alignment horizontal="left"/>
      <protection hidden="1"/>
    </xf>
    <xf numFmtId="0" fontId="11" fillId="5" borderId="16" xfId="2" applyNumberFormat="1" applyFont="1" applyFill="1" applyBorder="1" applyProtection="1">
      <protection hidden="1"/>
    </xf>
    <xf numFmtId="0" fontId="16" fillId="5" borderId="16" xfId="0" applyFont="1" applyFill="1" applyBorder="1"/>
    <xf numFmtId="164" fontId="16" fillId="5" borderId="16" xfId="0" applyNumberFormat="1" applyFont="1" applyFill="1" applyBorder="1"/>
    <xf numFmtId="4" fontId="3" fillId="0" borderId="16" xfId="2" applyNumberFormat="1" applyFont="1" applyBorder="1" applyAlignment="1">
      <alignment horizontal="center"/>
    </xf>
    <xf numFmtId="0" fontId="8" fillId="5" borderId="16" xfId="0" applyFont="1" applyFill="1" applyBorder="1"/>
    <xf numFmtId="0" fontId="16" fillId="5" borderId="17" xfId="0" applyFont="1" applyFill="1" applyBorder="1"/>
    <xf numFmtId="0" fontId="2" fillId="0" borderId="1" xfId="2" applyNumberFormat="1" applyFont="1" applyBorder="1"/>
    <xf numFmtId="0" fontId="2" fillId="0" borderId="0" xfId="2" applyNumberFormat="1" applyFont="1" applyBorder="1"/>
    <xf numFmtId="0" fontId="2" fillId="0" borderId="0" xfId="2" applyNumberFormat="1" applyFont="1" applyBorder="1" applyAlignment="1">
      <alignment horizontal="center"/>
    </xf>
    <xf numFmtId="0" fontId="3" fillId="0" borderId="0" xfId="2" applyNumberFormat="1" applyFont="1" applyBorder="1"/>
    <xf numFmtId="0" fontId="2" fillId="0" borderId="2" xfId="2" applyNumberFormat="1" applyFont="1" applyBorder="1"/>
    <xf numFmtId="40" fontId="26" fillId="12" borderId="8" xfId="3" applyNumberFormat="1" applyFont="1" applyFill="1" applyBorder="1"/>
    <xf numFmtId="40" fontId="26" fillId="12" borderId="33" xfId="3" applyNumberFormat="1" applyFont="1" applyFill="1" applyBorder="1"/>
    <xf numFmtId="40" fontId="26" fillId="12" borderId="8" xfId="3" applyNumberFormat="1" applyFont="1" applyFill="1" applyBorder="1" applyAlignment="1">
      <alignment horizontal="center"/>
    </xf>
    <xf numFmtId="14" fontId="26" fillId="7" borderId="37" xfId="4" applyNumberFormat="1" applyFont="1" applyFill="1" applyBorder="1" applyAlignment="1">
      <alignment horizontal="center" vertical="center" wrapText="1"/>
    </xf>
    <xf numFmtId="14" fontId="26" fillId="7" borderId="39" xfId="4" applyNumberFormat="1" applyFont="1" applyFill="1" applyBorder="1" applyAlignment="1">
      <alignment horizontal="center" vertical="center" wrapText="1"/>
    </xf>
    <xf numFmtId="4" fontId="26" fillId="12" borderId="9" xfId="4" applyNumberFormat="1" applyFont="1" applyFill="1" applyBorder="1" applyAlignment="1">
      <alignment horizontal="center" vertical="center" wrapText="1"/>
    </xf>
    <xf numFmtId="168" fontId="26" fillId="12" borderId="8" xfId="6" applyFont="1" applyFill="1" applyBorder="1" applyAlignment="1">
      <alignment horizontal="center" vertical="center" wrapText="1"/>
    </xf>
    <xf numFmtId="10" fontId="26" fillId="12" borderId="9" xfId="5" applyNumberFormat="1" applyFont="1" applyFill="1" applyBorder="1" applyAlignment="1">
      <alignment horizontal="center" vertical="center" wrapText="1"/>
    </xf>
    <xf numFmtId="168" fontId="26" fillId="12" borderId="40" xfId="6" applyFont="1" applyFill="1" applyBorder="1" applyAlignment="1">
      <alignment horizontal="center" vertical="center" wrapText="1"/>
    </xf>
    <xf numFmtId="0" fontId="18" fillId="7" borderId="34" xfId="4" applyFont="1" applyFill="1" applyBorder="1" applyAlignment="1">
      <alignment horizontal="center" vertical="center"/>
    </xf>
    <xf numFmtId="14" fontId="18" fillId="7" borderId="36" xfId="4" applyNumberFormat="1" applyFont="1" applyFill="1" applyBorder="1" applyAlignment="1">
      <alignment horizontal="center" vertical="center"/>
    </xf>
    <xf numFmtId="14" fontId="18" fillId="7" borderId="38" xfId="4" applyNumberFormat="1" applyFont="1" applyFill="1" applyBorder="1" applyAlignment="1">
      <alignment horizontal="center" vertical="center"/>
    </xf>
    <xf numFmtId="169" fontId="17" fillId="9" borderId="22" xfId="2" applyNumberFormat="1" applyFont="1" applyFill="1" applyBorder="1" applyProtection="1"/>
    <xf numFmtId="0" fontId="29" fillId="7" borderId="32" xfId="5" applyNumberFormat="1" applyFont="1" applyFill="1" applyBorder="1" applyAlignment="1">
      <alignment horizontal="center" vertical="center" wrapText="1"/>
    </xf>
    <xf numFmtId="10" fontId="26" fillId="10" borderId="8" xfId="7" applyNumberFormat="1" applyFont="1" applyFill="1" applyBorder="1" applyAlignment="1">
      <alignment horizontal="center"/>
    </xf>
    <xf numFmtId="10" fontId="26" fillId="0" borderId="8" xfId="3" applyNumberFormat="1" applyFont="1" applyBorder="1" applyAlignment="1">
      <alignment horizontal="center"/>
    </xf>
    <xf numFmtId="10" fontId="26" fillId="0" borderId="8" xfId="7" applyNumberFormat="1" applyFont="1" applyFill="1" applyBorder="1" applyAlignment="1">
      <alignment horizontal="center"/>
    </xf>
    <xf numFmtId="167" fontId="3" fillId="8" borderId="0" xfId="2" applyNumberFormat="1" applyFont="1" applyFill="1" applyProtection="1"/>
    <xf numFmtId="0" fontId="17" fillId="9" borderId="24" xfId="2" applyNumberFormat="1" applyFont="1" applyFill="1" applyBorder="1" applyAlignment="1" applyProtection="1">
      <alignment horizontal="left"/>
    </xf>
    <xf numFmtId="0" fontId="17" fillId="9" borderId="25" xfId="2" applyNumberFormat="1" applyFont="1" applyFill="1" applyBorder="1" applyAlignment="1" applyProtection="1">
      <alignment horizontal="left"/>
    </xf>
    <xf numFmtId="0" fontId="17" fillId="9" borderId="26" xfId="2" applyNumberFormat="1" applyFont="1" applyFill="1" applyBorder="1" applyAlignment="1" applyProtection="1">
      <alignment horizontal="left"/>
    </xf>
    <xf numFmtId="0" fontId="27" fillId="10" borderId="27" xfId="3" applyFont="1" applyFill="1" applyBorder="1" applyAlignment="1">
      <alignment horizontal="center" vertical="center"/>
    </xf>
    <xf numFmtId="0" fontId="27" fillId="10" borderId="28" xfId="3" applyFont="1" applyFill="1" applyBorder="1" applyAlignment="1">
      <alignment horizontal="center" vertical="center"/>
    </xf>
    <xf numFmtId="0" fontId="27" fillId="10" borderId="0" xfId="3" applyFont="1" applyFill="1" applyAlignment="1">
      <alignment horizontal="center" vertical="center"/>
    </xf>
    <xf numFmtId="0" fontId="27" fillId="10" borderId="29" xfId="3" applyFont="1" applyFill="1" applyBorder="1" applyAlignment="1">
      <alignment horizontal="center" vertical="center"/>
    </xf>
    <xf numFmtId="0" fontId="27" fillId="10" borderId="31" xfId="3" applyFont="1" applyFill="1" applyBorder="1" applyAlignment="1">
      <alignment horizontal="center"/>
    </xf>
    <xf numFmtId="0" fontId="26" fillId="0" borderId="31" xfId="3" applyFont="1" applyBorder="1"/>
    <xf numFmtId="0" fontId="26" fillId="0" borderId="27" xfId="3" applyFont="1" applyBorder="1" applyAlignment="1">
      <alignment horizontal="left" vertical="top" wrapText="1"/>
    </xf>
    <xf numFmtId="0" fontId="26" fillId="0" borderId="28" xfId="3" applyFont="1" applyBorder="1" applyAlignment="1">
      <alignment horizontal="left" vertical="top" wrapText="1"/>
    </xf>
    <xf numFmtId="17" fontId="32" fillId="0" borderId="0" xfId="0" applyNumberFormat="1" applyFont="1" applyAlignment="1">
      <alignment horizontal="center" vertical="center" wrapText="1"/>
    </xf>
    <xf numFmtId="0" fontId="29" fillId="7" borderId="32" xfId="4" applyFont="1" applyFill="1" applyBorder="1" applyAlignment="1">
      <alignment horizontal="left" vertical="center" wrapText="1"/>
    </xf>
    <xf numFmtId="0" fontId="18" fillId="7" borderId="34" xfId="4" applyFont="1" applyFill="1" applyBorder="1" applyAlignment="1">
      <alignment horizontal="left" vertical="center" wrapText="1"/>
    </xf>
    <xf numFmtId="0" fontId="18" fillId="7" borderId="48" xfId="4" applyFont="1" applyFill="1" applyBorder="1" applyAlignment="1">
      <alignment horizontal="left" vertical="center" wrapText="1"/>
    </xf>
    <xf numFmtId="0" fontId="22" fillId="7" borderId="18" xfId="4" applyFont="1" applyFill="1" applyBorder="1" applyAlignment="1">
      <alignment horizontal="left" vertical="center"/>
    </xf>
    <xf numFmtId="0" fontId="22" fillId="7" borderId="51" xfId="4" applyFont="1" applyFill="1" applyBorder="1" applyAlignment="1">
      <alignment horizontal="left" vertical="center"/>
    </xf>
  </cellXfs>
  <cellStyles count="8">
    <cellStyle name="Normal" xfId="0" builtinId="0"/>
    <cellStyle name="Normal 2" xfId="3" xr:uid="{00000000-0005-0000-0000-000001000000}"/>
    <cellStyle name="Normal 3" xfId="4" xr:uid="{00000000-0005-0000-0000-000002000000}"/>
    <cellStyle name="Porcentagem" xfId="7" builtinId="5"/>
    <cellStyle name="Porcentagem 2" xfId="5" xr:uid="{00000000-0005-0000-0000-000004000000}"/>
    <cellStyle name="TableStyleLight1" xfId="2" xr:uid="{00000000-0005-0000-0000-000005000000}"/>
    <cellStyle name="Vírgula" xfId="1" builtinId="3"/>
    <cellStyle name="Vírgula 2" xfId="6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61"/>
  <sheetViews>
    <sheetView topLeftCell="BM4" zoomScale="70" zoomScaleNormal="70" workbookViewId="0">
      <selection activeCell="AP15" sqref="AP15"/>
    </sheetView>
  </sheetViews>
  <sheetFormatPr defaultColWidth="0" defaultRowHeight="15.75" x14ac:dyDescent="0.25"/>
  <cols>
    <col min="1" max="1" width="9.140625" style="190" customWidth="1"/>
    <col min="2" max="3" width="9.140625" style="191" customWidth="1"/>
    <col min="4" max="4" width="12.28515625" style="192" customWidth="1"/>
    <col min="5" max="64" width="31.5703125" style="191" customWidth="1"/>
    <col min="65" max="65" width="31.5703125" style="193" customWidth="1"/>
    <col min="66" max="66" width="31.5703125" style="191" customWidth="1"/>
    <col min="67" max="67" width="31.5703125" style="194" customWidth="1"/>
    <col min="68" max="68" width="17.140625" style="43" customWidth="1"/>
    <col min="69" max="69" width="19.7109375" style="43" customWidth="1"/>
    <col min="70" max="70" width="9.140625" style="156" customWidth="1"/>
    <col min="71" max="1025" width="9.140625" style="156" hidden="1" customWidth="1"/>
    <col min="1026" max="16384" width="9.140625" hidden="1"/>
  </cols>
  <sheetData>
    <row r="1" spans="1:1024" s="150" customFormat="1" ht="25.5" x14ac:dyDescent="0.35">
      <c r="A1" s="147" t="s">
        <v>134</v>
      </c>
      <c r="B1" s="148"/>
      <c r="C1" s="148"/>
      <c r="D1" s="149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</row>
    <row r="2" spans="1:1024" s="38" customFormat="1" ht="25.5" x14ac:dyDescent="0.35">
      <c r="A2" s="35"/>
      <c r="B2" s="36"/>
      <c r="C2" s="36"/>
      <c r="D2" s="37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1024" s="38" customFormat="1" ht="20.25" hidden="1" x14ac:dyDescent="0.3">
      <c r="A3" s="151" t="s">
        <v>82</v>
      </c>
      <c r="B3" s="152"/>
      <c r="C3" s="153"/>
      <c r="D3" s="153"/>
      <c r="E3" s="154">
        <v>0.06</v>
      </c>
      <c r="F3" s="36"/>
      <c r="G3" s="36"/>
      <c r="H3" s="36"/>
      <c r="I3" s="36"/>
      <c r="J3" s="36"/>
      <c r="K3" s="36"/>
      <c r="L3" s="36"/>
      <c r="M3" s="36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36"/>
      <c r="BK3" s="36"/>
      <c r="BL3" s="36"/>
      <c r="BM3" s="36"/>
      <c r="BN3" s="36"/>
      <c r="BO3" s="36"/>
      <c r="BP3" s="36"/>
      <c r="BQ3" s="36"/>
    </row>
    <row r="4" spans="1:1024" s="38" customFormat="1" ht="21" thickBot="1" x14ac:dyDescent="0.35">
      <c r="A4" s="213" t="s">
        <v>78</v>
      </c>
      <c r="B4" s="214"/>
      <c r="C4" s="214"/>
      <c r="D4" s="215"/>
      <c r="E4" s="207">
        <f>IFERROR(BQ160/BP160,"")</f>
        <v>18.962683044110403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</row>
    <row r="5" spans="1:1024" s="38" customFormat="1" ht="26.25" thickBot="1" x14ac:dyDescent="0.4">
      <c r="A5" s="35"/>
      <c r="B5" s="36"/>
      <c r="C5" s="36"/>
      <c r="D5" s="37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212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</row>
    <row r="6" spans="1:1024" x14ac:dyDescent="0.25">
      <c r="A6" s="1" t="s">
        <v>0</v>
      </c>
      <c r="B6" s="2"/>
      <c r="C6" s="2"/>
      <c r="D6" s="3"/>
      <c r="E6" s="4"/>
      <c r="F6" s="5" t="s">
        <v>1</v>
      </c>
      <c r="G6" s="6"/>
      <c r="H6" s="6"/>
      <c r="I6" s="6"/>
      <c r="J6" s="6"/>
      <c r="K6" s="7"/>
      <c r="L6" s="8"/>
      <c r="M6" s="5" t="s">
        <v>2</v>
      </c>
      <c r="N6" s="2"/>
      <c r="O6" s="2"/>
      <c r="P6" s="2"/>
      <c r="Q6" s="2"/>
      <c r="R6" s="2"/>
      <c r="S6" s="2"/>
      <c r="T6" s="4"/>
      <c r="U6" s="5" t="s">
        <v>3</v>
      </c>
      <c r="V6" s="2"/>
      <c r="W6" s="2"/>
      <c r="X6" s="2"/>
      <c r="Y6" s="2"/>
      <c r="Z6" s="2"/>
      <c r="AA6" s="2"/>
      <c r="AB6" s="4"/>
      <c r="AC6" s="5" t="s">
        <v>4</v>
      </c>
      <c r="AD6" s="2"/>
      <c r="AE6" s="2"/>
      <c r="AF6" s="2"/>
      <c r="AG6" s="4"/>
      <c r="AH6" s="5" t="s">
        <v>5</v>
      </c>
      <c r="AI6" s="2"/>
      <c r="AJ6" s="2"/>
      <c r="AK6" s="2"/>
      <c r="AL6" s="2"/>
      <c r="AM6" s="4"/>
      <c r="AN6" s="1" t="s">
        <v>6</v>
      </c>
      <c r="AO6" s="2"/>
      <c r="AP6" s="2"/>
      <c r="AQ6" s="4"/>
      <c r="AR6" s="9" t="s">
        <v>7</v>
      </c>
      <c r="AS6" s="1" t="s">
        <v>8</v>
      </c>
      <c r="AT6" s="2"/>
      <c r="AU6" s="2"/>
      <c r="AV6" s="2"/>
      <c r="AW6" s="2"/>
      <c r="AX6" s="2"/>
      <c r="AY6" s="4"/>
      <c r="AZ6" s="1" t="s">
        <v>9</v>
      </c>
      <c r="BA6" s="10"/>
      <c r="BB6" s="10"/>
      <c r="BC6" s="10"/>
      <c r="BD6" s="10"/>
      <c r="BE6" s="10"/>
      <c r="BF6" s="10"/>
      <c r="BG6" s="10"/>
      <c r="BH6" s="10"/>
      <c r="BI6" s="11"/>
      <c r="BJ6" s="12" t="s">
        <v>7</v>
      </c>
      <c r="BK6" s="1" t="s">
        <v>10</v>
      </c>
      <c r="BL6" s="13"/>
      <c r="BM6" s="14"/>
      <c r="BN6" s="13"/>
      <c r="BO6" s="15"/>
      <c r="BP6" s="12" t="s">
        <v>81</v>
      </c>
      <c r="BQ6" s="12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157" customFormat="1" x14ac:dyDescent="0.25">
      <c r="A7" s="16">
        <v>100101</v>
      </c>
      <c r="B7" s="32">
        <v>100201</v>
      </c>
      <c r="C7" s="17">
        <v>100301</v>
      </c>
      <c r="D7" s="21">
        <v>100401</v>
      </c>
      <c r="E7" s="17">
        <v>109001</v>
      </c>
      <c r="F7" s="21">
        <v>111000</v>
      </c>
      <c r="G7" s="17">
        <v>111101</v>
      </c>
      <c r="H7" s="17">
        <v>111201</v>
      </c>
      <c r="I7" s="17">
        <v>111301</v>
      </c>
      <c r="J7" s="17">
        <v>111401</v>
      </c>
      <c r="K7" s="17">
        <v>112000</v>
      </c>
      <c r="L7" s="17">
        <v>119900</v>
      </c>
      <c r="M7" s="21">
        <v>121000</v>
      </c>
      <c r="N7" s="17">
        <v>121100</v>
      </c>
      <c r="O7" s="17">
        <v>121200</v>
      </c>
      <c r="P7" s="17">
        <v>121300</v>
      </c>
      <c r="Q7" s="17">
        <v>121400</v>
      </c>
      <c r="R7" s="17">
        <v>121500</v>
      </c>
      <c r="S7" s="17">
        <v>121600</v>
      </c>
      <c r="T7" s="17">
        <v>121700</v>
      </c>
      <c r="U7" s="21">
        <v>122000</v>
      </c>
      <c r="V7" s="17">
        <v>122100</v>
      </c>
      <c r="W7" s="17">
        <v>122200</v>
      </c>
      <c r="X7" s="17">
        <v>122300</v>
      </c>
      <c r="Y7" s="17">
        <v>122400</v>
      </c>
      <c r="Z7" s="17">
        <v>122500</v>
      </c>
      <c r="AA7" s="17">
        <v>122600</v>
      </c>
      <c r="AB7" s="17">
        <v>122700</v>
      </c>
      <c r="AC7" s="21">
        <v>123000</v>
      </c>
      <c r="AD7" s="17">
        <v>123100</v>
      </c>
      <c r="AE7" s="17">
        <v>123200</v>
      </c>
      <c r="AF7" s="17">
        <v>123300</v>
      </c>
      <c r="AG7" s="17">
        <v>123400</v>
      </c>
      <c r="AH7" s="21">
        <v>124000</v>
      </c>
      <c r="AI7" s="17">
        <v>124100</v>
      </c>
      <c r="AJ7" s="17">
        <v>124200</v>
      </c>
      <c r="AK7" s="17">
        <v>124300</v>
      </c>
      <c r="AL7" s="17">
        <v>124400</v>
      </c>
      <c r="AM7" s="17">
        <v>124500</v>
      </c>
      <c r="AN7" s="18">
        <v>129000</v>
      </c>
      <c r="AO7" s="18">
        <v>130101</v>
      </c>
      <c r="AP7" s="17">
        <v>130201</v>
      </c>
      <c r="AQ7" s="17">
        <v>139901</v>
      </c>
      <c r="AR7" s="21">
        <v>190000</v>
      </c>
      <c r="AS7" s="21">
        <v>210000</v>
      </c>
      <c r="AT7" s="17">
        <v>211001</v>
      </c>
      <c r="AU7" s="17">
        <v>212001</v>
      </c>
      <c r="AV7" s="17">
        <v>213001</v>
      </c>
      <c r="AW7" s="17">
        <v>214001</v>
      </c>
      <c r="AX7" s="17">
        <v>215001</v>
      </c>
      <c r="AY7" s="17">
        <v>219901</v>
      </c>
      <c r="AZ7" s="21">
        <v>220000</v>
      </c>
      <c r="BA7" s="18">
        <v>221000</v>
      </c>
      <c r="BB7" s="18">
        <v>222000</v>
      </c>
      <c r="BC7" s="18">
        <v>223000</v>
      </c>
      <c r="BD7" s="18">
        <v>224000</v>
      </c>
      <c r="BE7" s="18">
        <v>225000</v>
      </c>
      <c r="BF7" s="18">
        <v>226000</v>
      </c>
      <c r="BG7" s="18">
        <v>227000</v>
      </c>
      <c r="BH7" s="18">
        <v>229000</v>
      </c>
      <c r="BI7" s="18">
        <v>239901</v>
      </c>
      <c r="BJ7" s="19">
        <v>240000</v>
      </c>
      <c r="BK7" s="19">
        <v>250001</v>
      </c>
      <c r="BL7" s="19">
        <v>260001</v>
      </c>
      <c r="BM7" s="20">
        <v>270001</v>
      </c>
      <c r="BN7" s="21">
        <v>280001</v>
      </c>
      <c r="BO7" s="21">
        <v>290001</v>
      </c>
      <c r="BP7" s="19">
        <v>310000</v>
      </c>
      <c r="BQ7" s="19">
        <v>320000</v>
      </c>
    </row>
    <row r="8" spans="1:1024" s="159" customFormat="1" ht="165" customHeight="1" x14ac:dyDescent="0.2">
      <c r="A8" s="22" t="s">
        <v>11</v>
      </c>
      <c r="B8" s="33" t="s">
        <v>12</v>
      </c>
      <c r="C8" s="25" t="s">
        <v>13</v>
      </c>
      <c r="D8" s="23" t="s">
        <v>14</v>
      </c>
      <c r="E8" s="25" t="s">
        <v>15</v>
      </c>
      <c r="F8" s="26" t="s">
        <v>16</v>
      </c>
      <c r="G8" s="24" t="s">
        <v>17</v>
      </c>
      <c r="H8" s="24" t="s">
        <v>18</v>
      </c>
      <c r="I8" s="24" t="s">
        <v>19</v>
      </c>
      <c r="J8" s="24" t="s">
        <v>20</v>
      </c>
      <c r="K8" s="25" t="s">
        <v>21</v>
      </c>
      <c r="L8" s="24" t="s">
        <v>22</v>
      </c>
      <c r="M8" s="26" t="s">
        <v>23</v>
      </c>
      <c r="N8" s="24" t="s">
        <v>24</v>
      </c>
      <c r="O8" s="24" t="s">
        <v>25</v>
      </c>
      <c r="P8" s="24" t="s">
        <v>26</v>
      </c>
      <c r="Q8" s="24" t="s">
        <v>27</v>
      </c>
      <c r="R8" s="24" t="s">
        <v>28</v>
      </c>
      <c r="S8" s="24" t="s">
        <v>29</v>
      </c>
      <c r="T8" s="24" t="s">
        <v>30</v>
      </c>
      <c r="U8" s="26" t="s">
        <v>31</v>
      </c>
      <c r="V8" s="24" t="s">
        <v>32</v>
      </c>
      <c r="W8" s="24" t="s">
        <v>33</v>
      </c>
      <c r="X8" s="24" t="s">
        <v>34</v>
      </c>
      <c r="Y8" s="24" t="s">
        <v>35</v>
      </c>
      <c r="Z8" s="24" t="s">
        <v>36</v>
      </c>
      <c r="AA8" s="24" t="s">
        <v>37</v>
      </c>
      <c r="AB8" s="24" t="s">
        <v>38</v>
      </c>
      <c r="AC8" s="26" t="s">
        <v>39</v>
      </c>
      <c r="AD8" s="24" t="s">
        <v>40</v>
      </c>
      <c r="AE8" s="24" t="s">
        <v>41</v>
      </c>
      <c r="AF8" s="24" t="s">
        <v>42</v>
      </c>
      <c r="AG8" s="24" t="s">
        <v>43</v>
      </c>
      <c r="AH8" s="26" t="s">
        <v>44</v>
      </c>
      <c r="AI8" s="24" t="s">
        <v>45</v>
      </c>
      <c r="AJ8" s="24" t="s">
        <v>46</v>
      </c>
      <c r="AK8" s="24" t="s">
        <v>47</v>
      </c>
      <c r="AL8" s="24" t="s">
        <v>48</v>
      </c>
      <c r="AM8" s="24" t="s">
        <v>49</v>
      </c>
      <c r="AN8" s="25" t="s">
        <v>50</v>
      </c>
      <c r="AO8" s="24" t="s">
        <v>51</v>
      </c>
      <c r="AP8" s="24" t="s">
        <v>52</v>
      </c>
      <c r="AQ8" s="24" t="s">
        <v>53</v>
      </c>
      <c r="AR8" s="26" t="s">
        <v>54</v>
      </c>
      <c r="AS8" s="26" t="s">
        <v>55</v>
      </c>
      <c r="AT8" s="24" t="s">
        <v>56</v>
      </c>
      <c r="AU8" s="24" t="s">
        <v>57</v>
      </c>
      <c r="AV8" s="24" t="s">
        <v>58</v>
      </c>
      <c r="AW8" s="24" t="s">
        <v>59</v>
      </c>
      <c r="AX8" s="24" t="s">
        <v>60</v>
      </c>
      <c r="AY8" s="24" t="s">
        <v>61</v>
      </c>
      <c r="AZ8" s="26" t="s">
        <v>62</v>
      </c>
      <c r="BA8" s="25" t="s">
        <v>63</v>
      </c>
      <c r="BB8" s="25" t="s">
        <v>64</v>
      </c>
      <c r="BC8" s="25" t="s">
        <v>65</v>
      </c>
      <c r="BD8" s="25" t="s">
        <v>66</v>
      </c>
      <c r="BE8" s="25" t="s">
        <v>67</v>
      </c>
      <c r="BF8" s="25" t="s">
        <v>68</v>
      </c>
      <c r="BG8" s="25" t="s">
        <v>69</v>
      </c>
      <c r="BH8" s="25" t="s">
        <v>70</v>
      </c>
      <c r="BI8" s="24" t="s">
        <v>71</v>
      </c>
      <c r="BJ8" s="26" t="s">
        <v>72</v>
      </c>
      <c r="BK8" s="26" t="s">
        <v>73</v>
      </c>
      <c r="BL8" s="27" t="s">
        <v>74</v>
      </c>
      <c r="BM8" s="26" t="s">
        <v>75</v>
      </c>
      <c r="BN8" s="26" t="s">
        <v>135</v>
      </c>
      <c r="BO8" s="158" t="s">
        <v>136</v>
      </c>
      <c r="BP8" s="26" t="s">
        <v>79</v>
      </c>
      <c r="BQ8" s="26" t="s">
        <v>80</v>
      </c>
    </row>
    <row r="9" spans="1:1024" x14ac:dyDescent="0.25">
      <c r="A9" s="160"/>
      <c r="B9" s="161"/>
      <c r="C9" s="161"/>
      <c r="D9" s="162"/>
      <c r="E9" s="163"/>
      <c r="F9" s="163"/>
      <c r="G9" s="163"/>
      <c r="H9" s="163"/>
      <c r="I9" s="163"/>
      <c r="J9" s="163"/>
      <c r="K9" s="164"/>
      <c r="L9" s="164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4"/>
      <c r="AO9" s="164"/>
      <c r="AP9" s="164"/>
      <c r="AQ9" s="164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5"/>
      <c r="BN9" s="163"/>
      <c r="BO9" s="28">
        <v>552077972.63</v>
      </c>
      <c r="BP9" s="39"/>
      <c r="BQ9" s="3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166">
        <v>1</v>
      </c>
      <c r="B10" s="34">
        <v>2024</v>
      </c>
      <c r="C10" s="29">
        <v>4.9000000000000004</v>
      </c>
      <c r="D10" s="167">
        <f>ROUND(IF(A10=0,1,(1+C10/100)^-1),5)</f>
        <v>0.95328999999999997</v>
      </c>
      <c r="E10" s="29">
        <v>60045134.399999999</v>
      </c>
      <c r="F10" s="167">
        <f t="shared" ref="F10:F41" si="0">ROUND(SUM(G10:J10),5)</f>
        <v>1043798.18</v>
      </c>
      <c r="G10" s="29">
        <v>832032.72</v>
      </c>
      <c r="H10" s="29">
        <v>211765.46000000002</v>
      </c>
      <c r="I10" s="29">
        <v>0</v>
      </c>
      <c r="J10" s="29">
        <v>0</v>
      </c>
      <c r="K10" s="29">
        <v>5939.4000000000005</v>
      </c>
      <c r="L10" s="29">
        <v>3904627.3899999997</v>
      </c>
      <c r="M10" s="167">
        <f t="shared" ref="M10:M73" si="1">ROUND(SUM(N10:T10),5)</f>
        <v>28334731.286249999</v>
      </c>
      <c r="N10" s="29">
        <v>14222446.081875</v>
      </c>
      <c r="O10" s="29">
        <v>10630692.781874999</v>
      </c>
      <c r="P10" s="29">
        <v>0</v>
      </c>
      <c r="Q10" s="29">
        <v>930818.91937499994</v>
      </c>
      <c r="R10" s="29">
        <v>1838835.5568749998</v>
      </c>
      <c r="S10" s="29">
        <v>711937.94625000004</v>
      </c>
      <c r="T10" s="29">
        <v>0</v>
      </c>
      <c r="U10" s="167">
        <f t="shared" ref="U10:U73" si="2">ROUND(SUM(V10:AB10),5)</f>
        <v>22038124.333749998</v>
      </c>
      <c r="V10" s="29">
        <v>11061902.508125002</v>
      </c>
      <c r="W10" s="29">
        <v>8268316.6081250012</v>
      </c>
      <c r="X10" s="29">
        <v>0</v>
      </c>
      <c r="Y10" s="29">
        <v>723970.27062500012</v>
      </c>
      <c r="Z10" s="29">
        <v>1430205.433125</v>
      </c>
      <c r="AA10" s="29">
        <v>553729.51375000004</v>
      </c>
      <c r="AB10" s="29">
        <v>0</v>
      </c>
      <c r="AC10" s="167">
        <f t="shared" ref="AC10:AC73" si="3">ROUND(SUM(AD10:AG10),5)</f>
        <v>0</v>
      </c>
      <c r="AD10" s="29">
        <v>0</v>
      </c>
      <c r="AE10" s="29">
        <v>0</v>
      </c>
      <c r="AF10" s="29">
        <v>0</v>
      </c>
      <c r="AG10" s="29">
        <v>0</v>
      </c>
      <c r="AH10" s="167">
        <f t="shared" ref="AH10:AH73" si="4">ROUND(SUM(AI10:AM10),5)</f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324275.21000000002</v>
      </c>
      <c r="AO10" s="29">
        <v>52691789.850000001</v>
      </c>
      <c r="AP10" s="29">
        <v>0</v>
      </c>
      <c r="AQ10" s="29">
        <v>0</v>
      </c>
      <c r="AR10" s="167">
        <f t="shared" ref="AR10:AR73" si="5">ROUND(F10+K10+L10+M10+U10+AC10+AH10+AN10+AO10+AP10+AQ10,5)</f>
        <v>108343285.65000001</v>
      </c>
      <c r="AS10" s="167">
        <f t="shared" ref="AS10:AS73" si="6">ROUND(SUM(AT10:AY10),5)</f>
        <v>65150888.609999999</v>
      </c>
      <c r="AT10" s="29">
        <v>43402645.399999999</v>
      </c>
      <c r="AU10" s="29">
        <v>14066509.75</v>
      </c>
      <c r="AV10" s="29">
        <v>221596.30000000002</v>
      </c>
      <c r="AW10" s="29">
        <v>3304603.5599999996</v>
      </c>
      <c r="AX10" s="29">
        <v>4081755.6799999997</v>
      </c>
      <c r="AY10" s="29">
        <v>73777.919999999998</v>
      </c>
      <c r="AZ10" s="167">
        <f t="shared" ref="AZ10:AZ73" si="7">ROUND(SUM(BA10:BI10),5)</f>
        <v>5574387.9699999997</v>
      </c>
      <c r="BA10" s="29">
        <v>2130965.19</v>
      </c>
      <c r="BB10" s="29">
        <v>2805095.7399999998</v>
      </c>
      <c r="BC10" s="29">
        <v>0</v>
      </c>
      <c r="BD10" s="29">
        <v>7833.1</v>
      </c>
      <c r="BE10" s="29">
        <v>9035.85</v>
      </c>
      <c r="BF10" s="29">
        <v>451649.97000000003</v>
      </c>
      <c r="BG10" s="29">
        <v>0</v>
      </c>
      <c r="BH10" s="29">
        <v>169808.12</v>
      </c>
      <c r="BI10" s="29">
        <v>0</v>
      </c>
      <c r="BJ10" s="167">
        <f t="shared" ref="BJ10:BJ73" si="8">ROUND(AS10+AZ10,5)</f>
        <v>70725276.579999998</v>
      </c>
      <c r="BK10" s="167">
        <f t="shared" ref="BK10:BK73" si="9">ROUND(AR10-BJ10,5)</f>
        <v>37618009.07</v>
      </c>
      <c r="BL10" s="167">
        <f>$BO$9+SUMPRODUCT($D$10:D10,$BK$10:BK10)</f>
        <v>587938844.49634027</v>
      </c>
      <c r="BM10" s="30">
        <f t="shared" ref="BM10:BM73" si="10">ROUND(C10,5)</f>
        <v>4.9000000000000004</v>
      </c>
      <c r="BN10" s="167">
        <f>IF($A$10=0,IF(BO9+BK10&lt;0,0,ROUND(BM10/100*(BO9+BK10),5)),ROUND(BM10/100*BO9,5))</f>
        <v>27051820.65887</v>
      </c>
      <c r="BO10" s="168">
        <f t="shared" ref="BO10:BO73" si="11">IF(BO9+BK10+BN10&gt;0,ROUND(BO9+BK10+BN10,5),0)</f>
        <v>616747802.35887003</v>
      </c>
      <c r="BP10" s="40">
        <f>(1/((1+$C10/100)^($A10-0.5)))*(AS10+AZ10-AY10-BH10-F10-AC10-AH10)</f>
        <v>67796736.069916949</v>
      </c>
      <c r="BQ10" s="40">
        <f>$BP10*($A10-0.5)</f>
        <v>33898368.034958474</v>
      </c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 s="169">
        <f t="shared" ref="A11:B26" si="12">A10+1</f>
        <v>2</v>
      </c>
      <c r="B11" s="170">
        <f t="shared" si="12"/>
        <v>2025</v>
      </c>
      <c r="C11" s="29">
        <v>4.9000000000000004</v>
      </c>
      <c r="D11" s="167">
        <f>ROUND((1+C11/100)^-1*D10,5)</f>
        <v>0.90876000000000001</v>
      </c>
      <c r="E11" s="29">
        <v>62987393.149999999</v>
      </c>
      <c r="F11" s="167">
        <f t="shared" si="0"/>
        <v>1094945.3400000001</v>
      </c>
      <c r="G11" s="29">
        <v>872803.37</v>
      </c>
      <c r="H11" s="29">
        <v>222141.97</v>
      </c>
      <c r="I11" s="29">
        <v>0</v>
      </c>
      <c r="J11" s="29">
        <v>0</v>
      </c>
      <c r="K11" s="29">
        <v>6230.4400000000005</v>
      </c>
      <c r="L11" s="29">
        <v>4090427.0899999994</v>
      </c>
      <c r="M11" s="167">
        <f t="shared" si="1"/>
        <v>28097222.484379999</v>
      </c>
      <c r="N11" s="29">
        <v>14203159.048125001</v>
      </c>
      <c r="O11" s="29">
        <v>10326927.532500001</v>
      </c>
      <c r="P11" s="29">
        <v>0</v>
      </c>
      <c r="Q11" s="29">
        <v>955731.40312500007</v>
      </c>
      <c r="R11" s="29">
        <v>1883677.629375</v>
      </c>
      <c r="S11" s="29">
        <v>727726.87124999997</v>
      </c>
      <c r="T11" s="29">
        <v>0</v>
      </c>
      <c r="U11" s="167">
        <f t="shared" si="2"/>
        <v>21853395.265629999</v>
      </c>
      <c r="V11" s="29">
        <v>11046901.481875002</v>
      </c>
      <c r="W11" s="29">
        <v>8032054.7475000015</v>
      </c>
      <c r="X11" s="29">
        <v>0</v>
      </c>
      <c r="Y11" s="29">
        <v>743346.64687500009</v>
      </c>
      <c r="Z11" s="29">
        <v>1465082.6006250002</v>
      </c>
      <c r="AA11" s="29">
        <v>566009.78875000007</v>
      </c>
      <c r="AB11" s="29">
        <v>0</v>
      </c>
      <c r="AC11" s="167">
        <f t="shared" si="3"/>
        <v>0</v>
      </c>
      <c r="AD11" s="29">
        <v>0</v>
      </c>
      <c r="AE11" s="29">
        <v>0</v>
      </c>
      <c r="AF11" s="29">
        <v>0</v>
      </c>
      <c r="AG11" s="29">
        <v>0</v>
      </c>
      <c r="AH11" s="167">
        <f t="shared" si="4"/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465581.3</v>
      </c>
      <c r="AO11" s="29">
        <v>66593350.030000001</v>
      </c>
      <c r="AP11" s="29">
        <v>0</v>
      </c>
      <c r="AQ11" s="29">
        <v>0</v>
      </c>
      <c r="AR11" s="167">
        <f t="shared" si="5"/>
        <v>122201151.95001</v>
      </c>
      <c r="AS11" s="167">
        <f t="shared" si="6"/>
        <v>68258638.599999994</v>
      </c>
      <c r="AT11" s="29">
        <v>45529411.619999997</v>
      </c>
      <c r="AU11" s="29">
        <v>14755780.560000001</v>
      </c>
      <c r="AV11" s="29">
        <v>232454.52000000002</v>
      </c>
      <c r="AW11" s="29">
        <v>3466532.3299999996</v>
      </c>
      <c r="AX11" s="29">
        <v>4189610.92</v>
      </c>
      <c r="AY11" s="29">
        <v>84848.65</v>
      </c>
      <c r="AZ11" s="167">
        <f t="shared" si="7"/>
        <v>7959049.9400000004</v>
      </c>
      <c r="BA11" s="29">
        <v>3376978.8</v>
      </c>
      <c r="BB11" s="29">
        <v>3642894.05</v>
      </c>
      <c r="BC11" s="29">
        <v>0</v>
      </c>
      <c r="BD11" s="29">
        <v>33020.15</v>
      </c>
      <c r="BE11" s="29">
        <v>33230.44</v>
      </c>
      <c r="BF11" s="29">
        <v>673561.92</v>
      </c>
      <c r="BG11" s="29">
        <v>0</v>
      </c>
      <c r="BH11" s="29">
        <v>199364.58000000002</v>
      </c>
      <c r="BI11" s="29">
        <v>0</v>
      </c>
      <c r="BJ11" s="167">
        <f t="shared" si="8"/>
        <v>76217688.540000007</v>
      </c>
      <c r="BK11" s="167">
        <f t="shared" si="9"/>
        <v>45983463.410010003</v>
      </c>
      <c r="BL11" s="167">
        <f>$BO$9+SUMPRODUCT($D$10:D11,$BK$10:BK11)</f>
        <v>629726776.70482099</v>
      </c>
      <c r="BM11" s="30">
        <f t="shared" si="10"/>
        <v>4.9000000000000004</v>
      </c>
      <c r="BN11" s="167">
        <f t="shared" ref="BN11:BN74" si="13">IF($A$10=0,IF(BO10+BK11&lt;0,0,ROUND(BM11/100*(BO10+BK11),5)),ROUND(BM11/100*BO10,5))</f>
        <v>30220642.315579999</v>
      </c>
      <c r="BO11" s="168">
        <f t="shared" si="11"/>
        <v>692951908.08446002</v>
      </c>
      <c r="BP11" s="40">
        <f t="shared" ref="BP11:BP74" si="14">(1/((1+$C11/100)^($A11-0.5)))*(AS11+AZ11-AY11-BH11-F11-AC11-AH11)</f>
        <v>69656558.870568737</v>
      </c>
      <c r="BQ11" s="40">
        <f t="shared" ref="BQ11:BQ74" si="15">$BP11*($A11-0.5)</f>
        <v>104484838.3058531</v>
      </c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 s="169">
        <f t="shared" si="12"/>
        <v>3</v>
      </c>
      <c r="B12" s="170">
        <f t="shared" si="12"/>
        <v>2026</v>
      </c>
      <c r="C12" s="29">
        <v>4.9000000000000004</v>
      </c>
      <c r="D12" s="167">
        <f t="shared" ref="D12:D75" si="16">ROUND((1+C12/100)^-1*D11,5)</f>
        <v>0.86631000000000002</v>
      </c>
      <c r="E12" s="29">
        <v>66073834.689999998</v>
      </c>
      <c r="F12" s="167">
        <f t="shared" si="0"/>
        <v>1148597.67</v>
      </c>
      <c r="G12" s="29">
        <v>915570.74</v>
      </c>
      <c r="H12" s="29">
        <v>233026.93000000002</v>
      </c>
      <c r="I12" s="29">
        <v>0</v>
      </c>
      <c r="J12" s="29">
        <v>0</v>
      </c>
      <c r="K12" s="29">
        <v>6535.7300000000005</v>
      </c>
      <c r="L12" s="29">
        <v>4290212.09</v>
      </c>
      <c r="M12" s="167">
        <f t="shared" si="1"/>
        <v>28694440.535629999</v>
      </c>
      <c r="N12" s="29">
        <v>14476538.070000002</v>
      </c>
      <c r="O12" s="29">
        <v>10558846.518750001</v>
      </c>
      <c r="P12" s="29">
        <v>0</v>
      </c>
      <c r="Q12" s="29">
        <v>978477.16500000004</v>
      </c>
      <c r="R12" s="29">
        <v>1931865.485625</v>
      </c>
      <c r="S12" s="29">
        <v>748713.29625000001</v>
      </c>
      <c r="T12" s="29">
        <v>0</v>
      </c>
      <c r="U12" s="167">
        <f t="shared" si="2"/>
        <v>22317898.19438</v>
      </c>
      <c r="V12" s="29">
        <v>11259529.610000003</v>
      </c>
      <c r="W12" s="29">
        <v>8212436.1812500022</v>
      </c>
      <c r="X12" s="29">
        <v>0</v>
      </c>
      <c r="Y12" s="29">
        <v>761037.79500000004</v>
      </c>
      <c r="Z12" s="29">
        <v>1502562.0443750001</v>
      </c>
      <c r="AA12" s="29">
        <v>582332.56375000009</v>
      </c>
      <c r="AB12" s="29">
        <v>0</v>
      </c>
      <c r="AC12" s="167">
        <f t="shared" si="3"/>
        <v>0</v>
      </c>
      <c r="AD12" s="29">
        <v>0</v>
      </c>
      <c r="AE12" s="29">
        <v>0</v>
      </c>
      <c r="AF12" s="29">
        <v>0</v>
      </c>
      <c r="AG12" s="29">
        <v>0</v>
      </c>
      <c r="AH12" s="167">
        <f t="shared" si="4"/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621820.26</v>
      </c>
      <c r="AO12" s="29">
        <v>70956542.890000001</v>
      </c>
      <c r="AP12" s="29">
        <v>0</v>
      </c>
      <c r="AQ12" s="29">
        <v>0</v>
      </c>
      <c r="AR12" s="167">
        <f t="shared" si="5"/>
        <v>128036047.37001</v>
      </c>
      <c r="AS12" s="167">
        <f t="shared" si="6"/>
        <v>71601944.450000003</v>
      </c>
      <c r="AT12" s="29">
        <v>47760395.719999999</v>
      </c>
      <c r="AU12" s="29">
        <v>15478827.1</v>
      </c>
      <c r="AV12" s="29">
        <v>243844.79</v>
      </c>
      <c r="AW12" s="29">
        <v>3636395.46</v>
      </c>
      <c r="AX12" s="29">
        <v>4384072.3199999994</v>
      </c>
      <c r="AY12" s="29">
        <v>98409.06</v>
      </c>
      <c r="AZ12" s="167">
        <f t="shared" si="7"/>
        <v>10584022.470000001</v>
      </c>
      <c r="BA12" s="29">
        <v>4682345.46</v>
      </c>
      <c r="BB12" s="29">
        <v>4684829.66</v>
      </c>
      <c r="BC12" s="29">
        <v>0</v>
      </c>
      <c r="BD12" s="29">
        <v>50832.170000000006</v>
      </c>
      <c r="BE12" s="29">
        <v>57397.79</v>
      </c>
      <c r="BF12" s="29">
        <v>888269.9</v>
      </c>
      <c r="BG12" s="29">
        <v>0</v>
      </c>
      <c r="BH12" s="29">
        <v>220347.49000000002</v>
      </c>
      <c r="BI12" s="29">
        <v>0</v>
      </c>
      <c r="BJ12" s="167">
        <f t="shared" si="8"/>
        <v>82185966.920000002</v>
      </c>
      <c r="BK12" s="167">
        <f t="shared" si="9"/>
        <v>45850080.450010002</v>
      </c>
      <c r="BL12" s="167">
        <f>$BO$9+SUMPRODUCT($D$10:D12,$BK$10:BK12)</f>
        <v>669447159.89946914</v>
      </c>
      <c r="BM12" s="30">
        <f t="shared" si="10"/>
        <v>4.9000000000000004</v>
      </c>
      <c r="BN12" s="167">
        <f t="shared" si="13"/>
        <v>33954643.496140003</v>
      </c>
      <c r="BO12" s="168">
        <f t="shared" si="11"/>
        <v>772756632.03060997</v>
      </c>
      <c r="BP12" s="40">
        <f t="shared" si="14"/>
        <v>71620107.517536879</v>
      </c>
      <c r="BQ12" s="40">
        <f t="shared" si="15"/>
        <v>179050268.7938422</v>
      </c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169">
        <f t="shared" si="12"/>
        <v>4</v>
      </c>
      <c r="B13" s="170">
        <f t="shared" si="12"/>
        <v>2027</v>
      </c>
      <c r="C13" s="29">
        <v>4.9000000000000004</v>
      </c>
      <c r="D13" s="167">
        <f t="shared" si="16"/>
        <v>0.82584000000000002</v>
      </c>
      <c r="E13" s="29">
        <v>69311759.020000011</v>
      </c>
      <c r="F13" s="167">
        <f t="shared" si="0"/>
        <v>1204884.94</v>
      </c>
      <c r="G13" s="29">
        <v>960438.7</v>
      </c>
      <c r="H13" s="29">
        <v>244446.24000000002</v>
      </c>
      <c r="I13" s="29">
        <v>0</v>
      </c>
      <c r="J13" s="29">
        <v>0</v>
      </c>
      <c r="K13" s="29">
        <v>6331.25</v>
      </c>
      <c r="L13" s="29">
        <v>4482388.6900000004</v>
      </c>
      <c r="M13" s="167">
        <f t="shared" si="1"/>
        <v>29290671.776250001</v>
      </c>
      <c r="N13" s="29">
        <v>14795955.838125002</v>
      </c>
      <c r="O13" s="29">
        <v>10729576.558125002</v>
      </c>
      <c r="P13" s="29">
        <v>0</v>
      </c>
      <c r="Q13" s="29">
        <v>1009701.6749999999</v>
      </c>
      <c r="R13" s="29">
        <v>1988086.3199999998</v>
      </c>
      <c r="S13" s="29">
        <v>767351.38500000001</v>
      </c>
      <c r="T13" s="29">
        <v>0</v>
      </c>
      <c r="U13" s="167">
        <f t="shared" si="2"/>
        <v>22781633.603750002</v>
      </c>
      <c r="V13" s="29">
        <v>11507965.651875002</v>
      </c>
      <c r="W13" s="29">
        <v>8345226.2118750028</v>
      </c>
      <c r="X13" s="29">
        <v>0</v>
      </c>
      <c r="Y13" s="29">
        <v>785323.52500000002</v>
      </c>
      <c r="Z13" s="29">
        <v>1546289.36</v>
      </c>
      <c r="AA13" s="29">
        <v>596828.8550000001</v>
      </c>
      <c r="AB13" s="29">
        <v>0</v>
      </c>
      <c r="AC13" s="167">
        <f t="shared" si="3"/>
        <v>0</v>
      </c>
      <c r="AD13" s="29">
        <v>0</v>
      </c>
      <c r="AE13" s="29">
        <v>0</v>
      </c>
      <c r="AF13" s="29">
        <v>0</v>
      </c>
      <c r="AG13" s="29">
        <v>0</v>
      </c>
      <c r="AH13" s="167">
        <f t="shared" si="4"/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768583.29</v>
      </c>
      <c r="AO13" s="29">
        <v>80120935.010000005</v>
      </c>
      <c r="AP13" s="29">
        <v>0</v>
      </c>
      <c r="AQ13" s="29">
        <v>0</v>
      </c>
      <c r="AR13" s="167">
        <f t="shared" si="5"/>
        <v>138655428.56</v>
      </c>
      <c r="AS13" s="167">
        <f t="shared" si="6"/>
        <v>74827498.269999996</v>
      </c>
      <c r="AT13" s="29">
        <v>50051097.710000001</v>
      </c>
      <c r="AU13" s="29">
        <v>16237362.279999999</v>
      </c>
      <c r="AV13" s="29">
        <v>255794.19</v>
      </c>
      <c r="AW13" s="29">
        <v>3814595.7399999998</v>
      </c>
      <c r="AX13" s="29">
        <v>4347628.4799999995</v>
      </c>
      <c r="AY13" s="29">
        <v>121019.87</v>
      </c>
      <c r="AZ13" s="167">
        <f t="shared" si="7"/>
        <v>13047257.9</v>
      </c>
      <c r="BA13" s="29">
        <v>5770126.8899999997</v>
      </c>
      <c r="BB13" s="29">
        <v>5787739.5299999993</v>
      </c>
      <c r="BC13" s="29">
        <v>0</v>
      </c>
      <c r="BD13" s="29">
        <v>77405.689999999988</v>
      </c>
      <c r="BE13" s="29">
        <v>90271.08</v>
      </c>
      <c r="BF13" s="29">
        <v>1084172.6000000001</v>
      </c>
      <c r="BG13" s="29">
        <v>0</v>
      </c>
      <c r="BH13" s="29">
        <v>237542.11000000002</v>
      </c>
      <c r="BI13" s="29">
        <v>0</v>
      </c>
      <c r="BJ13" s="167">
        <f t="shared" si="8"/>
        <v>87874756.170000002</v>
      </c>
      <c r="BK13" s="167">
        <f t="shared" si="9"/>
        <v>50780672.390000001</v>
      </c>
      <c r="BL13" s="167">
        <f>$BO$9+SUMPRODUCT($D$10:D13,$BK$10:BK13)</f>
        <v>711383870.38602674</v>
      </c>
      <c r="BM13" s="30">
        <f t="shared" si="10"/>
        <v>4.9000000000000004</v>
      </c>
      <c r="BN13" s="167">
        <f t="shared" si="13"/>
        <v>37865074.969499998</v>
      </c>
      <c r="BO13" s="168">
        <f t="shared" si="11"/>
        <v>861402379.39011002</v>
      </c>
      <c r="BP13" s="40">
        <f t="shared" si="14"/>
        <v>73005149.687496752</v>
      </c>
      <c r="BQ13" s="40">
        <f t="shared" si="15"/>
        <v>255518023.90623862</v>
      </c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 s="169">
        <f t="shared" si="12"/>
        <v>5</v>
      </c>
      <c r="B14" s="170">
        <f t="shared" si="12"/>
        <v>2028</v>
      </c>
      <c r="C14" s="29">
        <v>4.9000000000000004</v>
      </c>
      <c r="D14" s="167">
        <f t="shared" si="16"/>
        <v>0.78725999999999996</v>
      </c>
      <c r="E14" s="29">
        <v>72708410.550000012</v>
      </c>
      <c r="F14" s="167">
        <f t="shared" si="0"/>
        <v>1263931.01</v>
      </c>
      <c r="G14" s="29">
        <v>1007504.95</v>
      </c>
      <c r="H14" s="29">
        <v>256426.06</v>
      </c>
      <c r="I14" s="29">
        <v>0</v>
      </c>
      <c r="J14" s="29">
        <v>0</v>
      </c>
      <c r="K14" s="29">
        <v>6641.4800000000005</v>
      </c>
      <c r="L14" s="29">
        <v>4684726.8</v>
      </c>
      <c r="M14" s="167">
        <f t="shared" si="1"/>
        <v>29971762.38563</v>
      </c>
      <c r="N14" s="29">
        <v>15199416.922499999</v>
      </c>
      <c r="O14" s="29">
        <v>10898220.808125002</v>
      </c>
      <c r="P14" s="29">
        <v>0</v>
      </c>
      <c r="Q14" s="29">
        <v>1040673.7574999999</v>
      </c>
      <c r="R14" s="29">
        <v>2047038.7106249998</v>
      </c>
      <c r="S14" s="29">
        <v>786412.18687500001</v>
      </c>
      <c r="T14" s="29">
        <v>0</v>
      </c>
      <c r="U14" s="167">
        <f t="shared" si="2"/>
        <v>23311370.744380001</v>
      </c>
      <c r="V14" s="29">
        <v>11821768.717500001</v>
      </c>
      <c r="W14" s="29">
        <v>8476393.9618750028</v>
      </c>
      <c r="X14" s="29">
        <v>0</v>
      </c>
      <c r="Y14" s="29">
        <v>809412.9225000001</v>
      </c>
      <c r="Z14" s="29">
        <v>1592141.2193750001</v>
      </c>
      <c r="AA14" s="29">
        <v>611653.92312500009</v>
      </c>
      <c r="AB14" s="29">
        <v>0</v>
      </c>
      <c r="AC14" s="167">
        <f t="shared" si="3"/>
        <v>0</v>
      </c>
      <c r="AD14" s="29">
        <v>0</v>
      </c>
      <c r="AE14" s="29">
        <v>0</v>
      </c>
      <c r="AF14" s="29">
        <v>0</v>
      </c>
      <c r="AG14" s="29">
        <v>0</v>
      </c>
      <c r="AH14" s="167">
        <f t="shared" si="4"/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911597.35</v>
      </c>
      <c r="AO14" s="29">
        <v>89721342.680000007</v>
      </c>
      <c r="AP14" s="29">
        <v>0</v>
      </c>
      <c r="AQ14" s="29">
        <v>0</v>
      </c>
      <c r="AR14" s="167">
        <f t="shared" si="5"/>
        <v>149871372.45001</v>
      </c>
      <c r="AS14" s="167">
        <f t="shared" si="6"/>
        <v>78216501.090000004</v>
      </c>
      <c r="AT14" s="29">
        <v>52315358.019999996</v>
      </c>
      <c r="AU14" s="29">
        <v>17033081.110000003</v>
      </c>
      <c r="AV14" s="29">
        <v>268330.05</v>
      </c>
      <c r="AW14" s="29">
        <v>4001531</v>
      </c>
      <c r="AX14" s="29">
        <v>4460483.22</v>
      </c>
      <c r="AY14" s="29">
        <v>137717.69</v>
      </c>
      <c r="AZ14" s="167">
        <f t="shared" si="7"/>
        <v>15460654.390000001</v>
      </c>
      <c r="BA14" s="29">
        <v>6791614.1299999999</v>
      </c>
      <c r="BB14" s="29">
        <v>6901013.29</v>
      </c>
      <c r="BC14" s="29">
        <v>0</v>
      </c>
      <c r="BD14" s="29">
        <v>103436.98</v>
      </c>
      <c r="BE14" s="29">
        <v>126447.15999999999</v>
      </c>
      <c r="BF14" s="29">
        <v>1270779.53</v>
      </c>
      <c r="BG14" s="29">
        <v>0</v>
      </c>
      <c r="BH14" s="29">
        <v>267363.3</v>
      </c>
      <c r="BI14" s="29">
        <v>0</v>
      </c>
      <c r="BJ14" s="167">
        <f t="shared" si="8"/>
        <v>93677155.480000004</v>
      </c>
      <c r="BK14" s="167">
        <f t="shared" si="9"/>
        <v>56194216.970009997</v>
      </c>
      <c r="BL14" s="167">
        <f>$BO$9+SUMPRODUCT($D$10:D14,$BK$10:BK14)</f>
        <v>755623329.63783681</v>
      </c>
      <c r="BM14" s="30">
        <f t="shared" si="10"/>
        <v>4.9000000000000004</v>
      </c>
      <c r="BN14" s="167">
        <f t="shared" si="13"/>
        <v>42208716.590120003</v>
      </c>
      <c r="BO14" s="168">
        <f t="shared" si="11"/>
        <v>959805312.95024002</v>
      </c>
      <c r="BP14" s="40">
        <f t="shared" si="14"/>
        <v>74188496.677556202</v>
      </c>
      <c r="BQ14" s="40">
        <f t="shared" si="15"/>
        <v>333848235.04900289</v>
      </c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 s="169">
        <f t="shared" si="12"/>
        <v>6</v>
      </c>
      <c r="B15" s="170">
        <f t="shared" si="12"/>
        <v>2029</v>
      </c>
      <c r="C15" s="29">
        <v>4.9000000000000004</v>
      </c>
      <c r="D15" s="167">
        <f t="shared" si="16"/>
        <v>0.75048999999999999</v>
      </c>
      <c r="E15" s="29">
        <v>76270734.800000012</v>
      </c>
      <c r="F15" s="167">
        <f t="shared" si="0"/>
        <v>1325856</v>
      </c>
      <c r="G15" s="29">
        <v>1056867.21</v>
      </c>
      <c r="H15" s="29">
        <v>268988.79000000004</v>
      </c>
      <c r="I15" s="29">
        <v>0</v>
      </c>
      <c r="J15" s="29">
        <v>0</v>
      </c>
      <c r="K15" s="29">
        <v>3909.51</v>
      </c>
      <c r="L15" s="29">
        <v>4873712.01</v>
      </c>
      <c r="M15" s="167">
        <f t="shared" si="1"/>
        <v>30758127.834380001</v>
      </c>
      <c r="N15" s="29">
        <v>15673557.718125002</v>
      </c>
      <c r="O15" s="29">
        <v>11086741.608750002</v>
      </c>
      <c r="P15" s="29">
        <v>0</v>
      </c>
      <c r="Q15" s="29">
        <v>1076109.5081249999</v>
      </c>
      <c r="R15" s="29">
        <v>2112858.2981249997</v>
      </c>
      <c r="S15" s="29">
        <v>808860.70125000004</v>
      </c>
      <c r="T15" s="29">
        <v>0</v>
      </c>
      <c r="U15" s="167">
        <f t="shared" si="2"/>
        <v>23922988.31563</v>
      </c>
      <c r="V15" s="29">
        <v>12190544.891875003</v>
      </c>
      <c r="W15" s="29">
        <v>8623021.2512500025</v>
      </c>
      <c r="X15" s="29">
        <v>0</v>
      </c>
      <c r="Y15" s="29">
        <v>836974.06187500013</v>
      </c>
      <c r="Z15" s="29">
        <v>1643334.2318750001</v>
      </c>
      <c r="AA15" s="29">
        <v>629113.87875000015</v>
      </c>
      <c r="AB15" s="29">
        <v>0</v>
      </c>
      <c r="AC15" s="167">
        <f t="shared" si="3"/>
        <v>0</v>
      </c>
      <c r="AD15" s="29">
        <v>0</v>
      </c>
      <c r="AE15" s="29">
        <v>0</v>
      </c>
      <c r="AF15" s="29">
        <v>0</v>
      </c>
      <c r="AG15" s="29">
        <v>0</v>
      </c>
      <c r="AH15" s="167">
        <f t="shared" si="4"/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1083768.28</v>
      </c>
      <c r="AO15" s="29">
        <v>99773363.290000007</v>
      </c>
      <c r="AP15" s="29">
        <v>0</v>
      </c>
      <c r="AQ15" s="29">
        <v>0</v>
      </c>
      <c r="AR15" s="167">
        <f t="shared" si="5"/>
        <v>161741725.24000999</v>
      </c>
      <c r="AS15" s="167">
        <f t="shared" si="6"/>
        <v>81383962.450000003</v>
      </c>
      <c r="AT15" s="29">
        <v>54549128.049999997</v>
      </c>
      <c r="AU15" s="29">
        <v>17867610.66</v>
      </c>
      <c r="AV15" s="29">
        <v>281476.08</v>
      </c>
      <c r="AW15" s="29">
        <v>4197585.0599999996</v>
      </c>
      <c r="AX15" s="29">
        <v>4332737.59</v>
      </c>
      <c r="AY15" s="29">
        <v>155425.01</v>
      </c>
      <c r="AZ15" s="167">
        <f t="shared" si="7"/>
        <v>18382880.75</v>
      </c>
      <c r="BA15" s="29">
        <v>8190234.6099999994</v>
      </c>
      <c r="BB15" s="29">
        <v>8030360.5</v>
      </c>
      <c r="BC15" s="29">
        <v>0</v>
      </c>
      <c r="BD15" s="29">
        <v>150288.79</v>
      </c>
      <c r="BE15" s="29">
        <v>187550.16</v>
      </c>
      <c r="BF15" s="29">
        <v>1504377.21</v>
      </c>
      <c r="BG15" s="29">
        <v>0</v>
      </c>
      <c r="BH15" s="29">
        <v>320069.48</v>
      </c>
      <c r="BI15" s="29">
        <v>0</v>
      </c>
      <c r="BJ15" s="167">
        <f t="shared" si="8"/>
        <v>99766843.200000003</v>
      </c>
      <c r="BK15" s="167">
        <f t="shared" si="9"/>
        <v>61974882.040009998</v>
      </c>
      <c r="BL15" s="167">
        <f>$BO$9+SUMPRODUCT($D$10:D15,$BK$10:BK15)</f>
        <v>802134858.860044</v>
      </c>
      <c r="BM15" s="30">
        <f t="shared" si="10"/>
        <v>4.9000000000000004</v>
      </c>
      <c r="BN15" s="167">
        <f t="shared" si="13"/>
        <v>47030460.334559999</v>
      </c>
      <c r="BO15" s="168">
        <f t="shared" si="11"/>
        <v>1068810655.32481</v>
      </c>
      <c r="BP15" s="40">
        <f t="shared" si="14"/>
        <v>75302248.105694532</v>
      </c>
      <c r="BQ15" s="40">
        <f t="shared" si="15"/>
        <v>414162364.58131993</v>
      </c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 s="169">
        <f t="shared" si="12"/>
        <v>7</v>
      </c>
      <c r="B16" s="170">
        <f t="shared" si="12"/>
        <v>2030</v>
      </c>
      <c r="C16" s="29">
        <v>4.9000000000000004</v>
      </c>
      <c r="D16" s="167">
        <f t="shared" si="16"/>
        <v>0.71543000000000001</v>
      </c>
      <c r="E16" s="29">
        <v>80008419.190000013</v>
      </c>
      <c r="F16" s="167">
        <f t="shared" si="0"/>
        <v>1390830.64</v>
      </c>
      <c r="G16" s="29">
        <v>1108659.45</v>
      </c>
      <c r="H16" s="29">
        <v>282171.19</v>
      </c>
      <c r="I16" s="29">
        <v>0</v>
      </c>
      <c r="J16" s="29">
        <v>0</v>
      </c>
      <c r="K16" s="29">
        <v>4101.0700000000006</v>
      </c>
      <c r="L16" s="29">
        <v>5031531.5199999996</v>
      </c>
      <c r="M16" s="167">
        <f t="shared" si="1"/>
        <v>31410627.93</v>
      </c>
      <c r="N16" s="29">
        <v>16035263.465625001</v>
      </c>
      <c r="O16" s="29">
        <v>11269413.663750002</v>
      </c>
      <c r="P16" s="29">
        <v>0</v>
      </c>
      <c r="Q16" s="29">
        <v>1107606.07125</v>
      </c>
      <c r="R16" s="29">
        <v>2170487.109375</v>
      </c>
      <c r="S16" s="29">
        <v>827857.62000000011</v>
      </c>
      <c r="T16" s="29">
        <v>0</v>
      </c>
      <c r="U16" s="167">
        <f t="shared" si="2"/>
        <v>24430488.390000001</v>
      </c>
      <c r="V16" s="29">
        <v>12471871.584375001</v>
      </c>
      <c r="W16" s="29">
        <v>8765099.5162500031</v>
      </c>
      <c r="X16" s="29">
        <v>0</v>
      </c>
      <c r="Y16" s="29">
        <v>861471.38875000004</v>
      </c>
      <c r="Z16" s="29">
        <v>1688156.6406250002</v>
      </c>
      <c r="AA16" s="29">
        <v>643889.26000000013</v>
      </c>
      <c r="AB16" s="29">
        <v>0</v>
      </c>
      <c r="AC16" s="167">
        <f t="shared" si="3"/>
        <v>0</v>
      </c>
      <c r="AD16" s="29">
        <v>0</v>
      </c>
      <c r="AE16" s="29">
        <v>0</v>
      </c>
      <c r="AF16" s="29">
        <v>0</v>
      </c>
      <c r="AG16" s="29">
        <v>0</v>
      </c>
      <c r="AH16" s="167">
        <f t="shared" si="4"/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1320907.72</v>
      </c>
      <c r="AO16" s="29">
        <v>111609243.88000001</v>
      </c>
      <c r="AP16" s="29">
        <v>0</v>
      </c>
      <c r="AQ16" s="29">
        <v>0</v>
      </c>
      <c r="AR16" s="167">
        <f t="shared" si="5"/>
        <v>175197731.15000001</v>
      </c>
      <c r="AS16" s="167">
        <f t="shared" si="6"/>
        <v>84031924.400000006</v>
      </c>
      <c r="AT16" s="29">
        <v>56627484.949999996</v>
      </c>
      <c r="AU16" s="29">
        <v>18743221.220000003</v>
      </c>
      <c r="AV16" s="29">
        <v>295270.36</v>
      </c>
      <c r="AW16" s="29">
        <v>4364512.22</v>
      </c>
      <c r="AX16" s="29">
        <v>3828375.8299999996</v>
      </c>
      <c r="AY16" s="29">
        <v>173059.82</v>
      </c>
      <c r="AZ16" s="167">
        <f t="shared" si="7"/>
        <v>22354683.710000001</v>
      </c>
      <c r="BA16" s="29">
        <v>10279632.049999999</v>
      </c>
      <c r="BB16" s="29">
        <v>9334329.5299999993</v>
      </c>
      <c r="BC16" s="29">
        <v>0</v>
      </c>
      <c r="BD16" s="29">
        <v>272574.11</v>
      </c>
      <c r="BE16" s="29">
        <v>308497.5</v>
      </c>
      <c r="BF16" s="29">
        <v>1820103.83</v>
      </c>
      <c r="BG16" s="29">
        <v>0</v>
      </c>
      <c r="BH16" s="29">
        <v>339546.69</v>
      </c>
      <c r="BI16" s="29">
        <v>0</v>
      </c>
      <c r="BJ16" s="167">
        <f t="shared" si="8"/>
        <v>106386608.11</v>
      </c>
      <c r="BK16" s="167">
        <f t="shared" si="9"/>
        <v>68811123.040000007</v>
      </c>
      <c r="BL16" s="167">
        <f>$BO$9+SUMPRODUCT($D$10:D16,$BK$10:BK16)</f>
        <v>851364400.61655116</v>
      </c>
      <c r="BM16" s="30">
        <f t="shared" si="10"/>
        <v>4.9000000000000004</v>
      </c>
      <c r="BN16" s="167">
        <f t="shared" si="13"/>
        <v>52371722.110919997</v>
      </c>
      <c r="BO16" s="168">
        <f t="shared" si="11"/>
        <v>1189993500.4757299</v>
      </c>
      <c r="BP16" s="40">
        <f t="shared" si="14"/>
        <v>76560660.459499136</v>
      </c>
      <c r="BQ16" s="40">
        <f t="shared" si="15"/>
        <v>497644292.9867444</v>
      </c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 s="169">
        <f t="shared" si="12"/>
        <v>8</v>
      </c>
      <c r="B17" s="170">
        <f t="shared" si="12"/>
        <v>2031</v>
      </c>
      <c r="C17" s="29">
        <v>4.9000000000000004</v>
      </c>
      <c r="D17" s="167">
        <f t="shared" si="16"/>
        <v>0.68201000000000001</v>
      </c>
      <c r="E17" s="29">
        <v>83929008.690000013</v>
      </c>
      <c r="F17" s="167">
        <f t="shared" si="0"/>
        <v>1458984.66</v>
      </c>
      <c r="G17" s="29">
        <v>1162986.23</v>
      </c>
      <c r="H17" s="29">
        <v>295998.43</v>
      </c>
      <c r="I17" s="29">
        <v>0</v>
      </c>
      <c r="J17" s="29">
        <v>0</v>
      </c>
      <c r="K17" s="29">
        <v>4302.0200000000004</v>
      </c>
      <c r="L17" s="29">
        <v>5199824.9399999995</v>
      </c>
      <c r="M17" s="167">
        <f t="shared" si="1"/>
        <v>31645251.06188</v>
      </c>
      <c r="N17" s="29">
        <v>16146989.505000001</v>
      </c>
      <c r="O17" s="29">
        <v>11342852.42625</v>
      </c>
      <c r="P17" s="29">
        <v>0</v>
      </c>
      <c r="Q17" s="29">
        <v>1117888.32375</v>
      </c>
      <c r="R17" s="29">
        <v>2202142.0893749995</v>
      </c>
      <c r="S17" s="29">
        <v>835378.71750000003</v>
      </c>
      <c r="T17" s="29">
        <v>0</v>
      </c>
      <c r="U17" s="167">
        <f t="shared" si="2"/>
        <v>24612973.048129998</v>
      </c>
      <c r="V17" s="29">
        <v>12558769.615000002</v>
      </c>
      <c r="W17" s="29">
        <v>8822218.5537500009</v>
      </c>
      <c r="X17" s="29">
        <v>0</v>
      </c>
      <c r="Y17" s="29">
        <v>869468.69625000015</v>
      </c>
      <c r="Z17" s="29">
        <v>1712777.180625</v>
      </c>
      <c r="AA17" s="29">
        <v>649739.00250000006</v>
      </c>
      <c r="AB17" s="29">
        <v>0</v>
      </c>
      <c r="AC17" s="167">
        <f t="shared" si="3"/>
        <v>0</v>
      </c>
      <c r="AD17" s="29">
        <v>0</v>
      </c>
      <c r="AE17" s="29">
        <v>0</v>
      </c>
      <c r="AF17" s="29">
        <v>0</v>
      </c>
      <c r="AG17" s="29">
        <v>0</v>
      </c>
      <c r="AH17" s="167">
        <f t="shared" si="4"/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1658505.55</v>
      </c>
      <c r="AO17" s="29">
        <v>122654221.53</v>
      </c>
      <c r="AP17" s="29">
        <v>0</v>
      </c>
      <c r="AQ17" s="29">
        <v>0</v>
      </c>
      <c r="AR17" s="167">
        <f t="shared" si="5"/>
        <v>187234062.81000999</v>
      </c>
      <c r="AS17" s="167">
        <f t="shared" si="6"/>
        <v>86862286.959999993</v>
      </c>
      <c r="AT17" s="29">
        <v>58380529.419999994</v>
      </c>
      <c r="AU17" s="29">
        <v>19661680.700000003</v>
      </c>
      <c r="AV17" s="29">
        <v>309739.46000000002</v>
      </c>
      <c r="AW17" s="29">
        <v>4578382.1099999994</v>
      </c>
      <c r="AX17" s="29">
        <v>3733417.44</v>
      </c>
      <c r="AY17" s="29">
        <v>198537.83000000002</v>
      </c>
      <c r="AZ17" s="167">
        <f t="shared" si="7"/>
        <v>28033349.5</v>
      </c>
      <c r="BA17" s="29">
        <v>12342128.67</v>
      </c>
      <c r="BB17" s="29">
        <v>12065153.709999999</v>
      </c>
      <c r="BC17" s="29">
        <v>0</v>
      </c>
      <c r="BD17" s="29">
        <v>426352.32</v>
      </c>
      <c r="BE17" s="29">
        <v>505951.68</v>
      </c>
      <c r="BF17" s="29">
        <v>2302179.38</v>
      </c>
      <c r="BG17" s="29">
        <v>0</v>
      </c>
      <c r="BH17" s="29">
        <v>391583.74</v>
      </c>
      <c r="BI17" s="29">
        <v>0</v>
      </c>
      <c r="BJ17" s="167">
        <f t="shared" si="8"/>
        <v>114895636.45999999</v>
      </c>
      <c r="BK17" s="167">
        <f t="shared" si="9"/>
        <v>72338426.350009993</v>
      </c>
      <c r="BL17" s="167">
        <f>$BO$9+SUMPRODUCT($D$10:D17,$BK$10:BK17)</f>
        <v>900699930.77152145</v>
      </c>
      <c r="BM17" s="30">
        <f t="shared" si="10"/>
        <v>4.9000000000000004</v>
      </c>
      <c r="BN17" s="167">
        <f t="shared" si="13"/>
        <v>58309681.523309998</v>
      </c>
      <c r="BO17" s="168">
        <f t="shared" si="11"/>
        <v>1320641608.34905</v>
      </c>
      <c r="BP17" s="40">
        <f t="shared" si="14"/>
        <v>78826464.582899243</v>
      </c>
      <c r="BQ17" s="40">
        <f t="shared" si="15"/>
        <v>591198484.37174428</v>
      </c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 s="169">
        <f t="shared" si="12"/>
        <v>9</v>
      </c>
      <c r="B18" s="170">
        <f t="shared" si="12"/>
        <v>2032</v>
      </c>
      <c r="C18" s="29">
        <v>4.9000000000000004</v>
      </c>
      <c r="D18" s="167">
        <f t="shared" si="16"/>
        <v>0.65015000000000001</v>
      </c>
      <c r="E18" s="29">
        <v>88041872.450000003</v>
      </c>
      <c r="F18" s="167">
        <f t="shared" si="0"/>
        <v>1530481.03</v>
      </c>
      <c r="G18" s="29">
        <v>1219977.8700000001</v>
      </c>
      <c r="H18" s="29">
        <v>310503.16000000003</v>
      </c>
      <c r="I18" s="29">
        <v>0</v>
      </c>
      <c r="J18" s="29">
        <v>0</v>
      </c>
      <c r="K18" s="29">
        <v>4512.8200000000006</v>
      </c>
      <c r="L18" s="29">
        <v>5362950.99</v>
      </c>
      <c r="M18" s="167">
        <f t="shared" si="1"/>
        <v>31187416.17938</v>
      </c>
      <c r="N18" s="29">
        <v>16386710.692500001</v>
      </c>
      <c r="O18" s="29">
        <v>10666712.182500001</v>
      </c>
      <c r="P18" s="29">
        <v>0</v>
      </c>
      <c r="Q18" s="29">
        <v>1117302.879375</v>
      </c>
      <c r="R18" s="29">
        <v>2196341.4431249998</v>
      </c>
      <c r="S18" s="29">
        <v>820348.98187499994</v>
      </c>
      <c r="T18" s="29">
        <v>0</v>
      </c>
      <c r="U18" s="167">
        <f t="shared" si="2"/>
        <v>24256879.250629999</v>
      </c>
      <c r="V18" s="29">
        <v>12745219.427500002</v>
      </c>
      <c r="W18" s="29">
        <v>8296331.6975000026</v>
      </c>
      <c r="X18" s="29">
        <v>0</v>
      </c>
      <c r="Y18" s="29">
        <v>869013.35062500008</v>
      </c>
      <c r="Z18" s="29">
        <v>1708265.566875</v>
      </c>
      <c r="AA18" s="29">
        <v>638049.208125</v>
      </c>
      <c r="AB18" s="29">
        <v>0</v>
      </c>
      <c r="AC18" s="167">
        <f t="shared" si="3"/>
        <v>0</v>
      </c>
      <c r="AD18" s="29">
        <v>0</v>
      </c>
      <c r="AE18" s="29">
        <v>0</v>
      </c>
      <c r="AF18" s="29">
        <v>0</v>
      </c>
      <c r="AG18" s="29">
        <v>0</v>
      </c>
      <c r="AH18" s="167">
        <f t="shared" si="4"/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1948963.15</v>
      </c>
      <c r="AO18" s="29">
        <v>134206479.56</v>
      </c>
      <c r="AP18" s="29">
        <v>0</v>
      </c>
      <c r="AQ18" s="29">
        <v>0</v>
      </c>
      <c r="AR18" s="167">
        <f t="shared" si="5"/>
        <v>198497682.98001</v>
      </c>
      <c r="AS18" s="167">
        <f t="shared" si="6"/>
        <v>89600140.390000001</v>
      </c>
      <c r="AT18" s="29">
        <v>59905885.509999998</v>
      </c>
      <c r="AU18" s="29">
        <v>20625183.200000003</v>
      </c>
      <c r="AV18" s="29">
        <v>324917.49</v>
      </c>
      <c r="AW18" s="29">
        <v>4667741.5599999996</v>
      </c>
      <c r="AX18" s="29">
        <v>3858787.63</v>
      </c>
      <c r="AY18" s="29">
        <v>217625</v>
      </c>
      <c r="AZ18" s="167">
        <f t="shared" si="7"/>
        <v>32907799.84</v>
      </c>
      <c r="BA18" s="29">
        <v>14241948.83</v>
      </c>
      <c r="BB18" s="29">
        <v>14269372.4</v>
      </c>
      <c r="BC18" s="29">
        <v>0</v>
      </c>
      <c r="BD18" s="29">
        <v>580021.82000000007</v>
      </c>
      <c r="BE18" s="29">
        <v>690816.89</v>
      </c>
      <c r="BF18" s="29">
        <v>2700551.8299999996</v>
      </c>
      <c r="BG18" s="29">
        <v>0</v>
      </c>
      <c r="BH18" s="29">
        <v>425088.07</v>
      </c>
      <c r="BI18" s="29">
        <v>0</v>
      </c>
      <c r="BJ18" s="167">
        <f t="shared" si="8"/>
        <v>122507940.23</v>
      </c>
      <c r="BK18" s="167">
        <f t="shared" si="9"/>
        <v>75989742.750009999</v>
      </c>
      <c r="BL18" s="167">
        <f>$BO$9+SUMPRODUCT($D$10:D18,$BK$10:BK18)</f>
        <v>950104662.02044046</v>
      </c>
      <c r="BM18" s="30">
        <f t="shared" si="10"/>
        <v>4.9000000000000004</v>
      </c>
      <c r="BN18" s="167">
        <f t="shared" si="13"/>
        <v>64711438.809100002</v>
      </c>
      <c r="BO18" s="168">
        <f t="shared" si="11"/>
        <v>1461342789.90816</v>
      </c>
      <c r="BP18" s="40">
        <f t="shared" si="14"/>
        <v>80130784.835368142</v>
      </c>
      <c r="BQ18" s="40">
        <f t="shared" si="15"/>
        <v>681111671.10062921</v>
      </c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 s="169">
        <f t="shared" si="12"/>
        <v>10</v>
      </c>
      <c r="B19" s="170">
        <f t="shared" si="12"/>
        <v>2033</v>
      </c>
      <c r="C19" s="29">
        <v>4.9000000000000004</v>
      </c>
      <c r="D19" s="167">
        <f t="shared" si="16"/>
        <v>0.61978</v>
      </c>
      <c r="E19" s="29">
        <v>92356035.280000001</v>
      </c>
      <c r="F19" s="167">
        <f t="shared" si="0"/>
        <v>1577580.64</v>
      </c>
      <c r="G19" s="29">
        <v>1251862.07</v>
      </c>
      <c r="H19" s="29">
        <v>325718.57</v>
      </c>
      <c r="I19" s="29">
        <v>0</v>
      </c>
      <c r="J19" s="29">
        <v>0</v>
      </c>
      <c r="K19" s="29">
        <v>4733.95</v>
      </c>
      <c r="L19" s="29">
        <v>5468566.75</v>
      </c>
      <c r="M19" s="167">
        <f t="shared" si="1"/>
        <v>31223516.000629999</v>
      </c>
      <c r="N19" s="29">
        <v>16711883.201250002</v>
      </c>
      <c r="O19" s="29">
        <v>10351209.706875</v>
      </c>
      <c r="P19" s="29">
        <v>0</v>
      </c>
      <c r="Q19" s="29">
        <v>1125766.11375</v>
      </c>
      <c r="R19" s="29">
        <v>2215912.0387499998</v>
      </c>
      <c r="S19" s="29">
        <v>818744.94000000006</v>
      </c>
      <c r="T19" s="29">
        <v>0</v>
      </c>
      <c r="U19" s="167">
        <f t="shared" si="2"/>
        <v>24284956.889380001</v>
      </c>
      <c r="V19" s="29">
        <v>12998131.378750002</v>
      </c>
      <c r="W19" s="29">
        <v>8050940.8831250006</v>
      </c>
      <c r="X19" s="29">
        <v>0</v>
      </c>
      <c r="Y19" s="29">
        <v>875595.86625000008</v>
      </c>
      <c r="Z19" s="29">
        <v>1723487.1412500001</v>
      </c>
      <c r="AA19" s="29">
        <v>636801.62000000011</v>
      </c>
      <c r="AB19" s="29">
        <v>0</v>
      </c>
      <c r="AC19" s="167">
        <f t="shared" si="3"/>
        <v>0</v>
      </c>
      <c r="AD19" s="29">
        <v>0</v>
      </c>
      <c r="AE19" s="29">
        <v>0</v>
      </c>
      <c r="AF19" s="29">
        <v>0</v>
      </c>
      <c r="AG19" s="29">
        <v>0</v>
      </c>
      <c r="AH19" s="167">
        <f t="shared" si="4"/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2281481.2899999996</v>
      </c>
      <c r="AO19" s="29">
        <v>146284547.17999998</v>
      </c>
      <c r="AP19" s="29">
        <v>0</v>
      </c>
      <c r="AQ19" s="29">
        <v>0</v>
      </c>
      <c r="AR19" s="167">
        <f t="shared" si="5"/>
        <v>211125382.70001</v>
      </c>
      <c r="AS19" s="167">
        <f t="shared" si="6"/>
        <v>91375600.310000002</v>
      </c>
      <c r="AT19" s="29">
        <v>60640078.399999999</v>
      </c>
      <c r="AU19" s="29">
        <v>21635843.810000002</v>
      </c>
      <c r="AV19" s="29">
        <v>340839.21</v>
      </c>
      <c r="AW19" s="29">
        <v>4725633.99</v>
      </c>
      <c r="AX19" s="29">
        <v>3800387.3299999996</v>
      </c>
      <c r="AY19" s="29">
        <v>232817.57</v>
      </c>
      <c r="AZ19" s="167">
        <f t="shared" si="7"/>
        <v>38486465.700000003</v>
      </c>
      <c r="BA19" s="29">
        <v>16381215.23</v>
      </c>
      <c r="BB19" s="29">
        <v>16815534.860000003</v>
      </c>
      <c r="BC19" s="29">
        <v>0</v>
      </c>
      <c r="BD19" s="29">
        <v>765314.74</v>
      </c>
      <c r="BE19" s="29">
        <v>921148.51</v>
      </c>
      <c r="BF19" s="29">
        <v>3141470.0599999996</v>
      </c>
      <c r="BG19" s="29">
        <v>0</v>
      </c>
      <c r="BH19" s="29">
        <v>461782.3</v>
      </c>
      <c r="BI19" s="29">
        <v>0</v>
      </c>
      <c r="BJ19" s="167">
        <f t="shared" si="8"/>
        <v>129862066.01000001</v>
      </c>
      <c r="BK19" s="167">
        <f t="shared" si="9"/>
        <v>81263316.690009996</v>
      </c>
      <c r="BL19" s="167">
        <f>$BO$9+SUMPRODUCT($D$10:D19,$BK$10:BK19)</f>
        <v>1000470040.4385748</v>
      </c>
      <c r="BM19" s="30">
        <f t="shared" si="10"/>
        <v>4.9000000000000004</v>
      </c>
      <c r="BN19" s="167">
        <f t="shared" si="13"/>
        <v>71605796.705500007</v>
      </c>
      <c r="BO19" s="168">
        <f t="shared" si="11"/>
        <v>1614211903.3036699</v>
      </c>
      <c r="BP19" s="40">
        <f t="shared" si="14"/>
        <v>80993302.906937137</v>
      </c>
      <c r="BQ19" s="40">
        <f t="shared" si="15"/>
        <v>769436377.61590278</v>
      </c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 s="169">
        <f t="shared" si="12"/>
        <v>11</v>
      </c>
      <c r="B20" s="170">
        <f t="shared" si="12"/>
        <v>2034</v>
      </c>
      <c r="C20" s="29">
        <v>4.9000000000000004</v>
      </c>
      <c r="D20" s="167">
        <f t="shared" si="16"/>
        <v>0.59082999999999997</v>
      </c>
      <c r="E20" s="29">
        <v>96881376.219999999</v>
      </c>
      <c r="F20" s="167">
        <f t="shared" si="0"/>
        <v>1653047.94</v>
      </c>
      <c r="G20" s="29">
        <v>1311369.45</v>
      </c>
      <c r="H20" s="29">
        <v>341678.49</v>
      </c>
      <c r="I20" s="29">
        <v>0</v>
      </c>
      <c r="J20" s="29">
        <v>0</v>
      </c>
      <c r="K20" s="29">
        <v>4965.91</v>
      </c>
      <c r="L20" s="29">
        <v>5652598.6099999994</v>
      </c>
      <c r="M20" s="167">
        <f t="shared" si="1"/>
        <v>31020213.105</v>
      </c>
      <c r="N20" s="29">
        <v>16996056.935625002</v>
      </c>
      <c r="O20" s="29">
        <v>9864505.6762499996</v>
      </c>
      <c r="P20" s="29">
        <v>0</v>
      </c>
      <c r="Q20" s="29">
        <v>1127566.7212499999</v>
      </c>
      <c r="R20" s="29">
        <v>2223195.9468749999</v>
      </c>
      <c r="S20" s="29">
        <v>808887.82500000007</v>
      </c>
      <c r="T20" s="29">
        <v>0</v>
      </c>
      <c r="U20" s="167">
        <f t="shared" si="2"/>
        <v>24126832.414999999</v>
      </c>
      <c r="V20" s="29">
        <v>13219155.394375002</v>
      </c>
      <c r="W20" s="29">
        <v>7672393.3037500009</v>
      </c>
      <c r="X20" s="29">
        <v>0</v>
      </c>
      <c r="Y20" s="29">
        <v>876996.33875000011</v>
      </c>
      <c r="Z20" s="29">
        <v>1729152.403125</v>
      </c>
      <c r="AA20" s="29">
        <v>629134.97500000009</v>
      </c>
      <c r="AB20" s="29">
        <v>0</v>
      </c>
      <c r="AC20" s="167">
        <f t="shared" si="3"/>
        <v>0</v>
      </c>
      <c r="AD20" s="29">
        <v>0</v>
      </c>
      <c r="AE20" s="29">
        <v>0</v>
      </c>
      <c r="AF20" s="29">
        <v>0</v>
      </c>
      <c r="AG20" s="29">
        <v>0</v>
      </c>
      <c r="AH20" s="167">
        <f t="shared" si="4"/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2643032.6999999997</v>
      </c>
      <c r="AO20" s="29">
        <v>158908163.70999998</v>
      </c>
      <c r="AP20" s="29">
        <v>0</v>
      </c>
      <c r="AQ20" s="29">
        <v>0</v>
      </c>
      <c r="AR20" s="167">
        <f t="shared" si="5"/>
        <v>224008854.38999999</v>
      </c>
      <c r="AS20" s="167">
        <f t="shared" si="6"/>
        <v>94460525.739999995</v>
      </c>
      <c r="AT20" s="29">
        <v>62304575.169999994</v>
      </c>
      <c r="AU20" s="29">
        <v>22695975.680000003</v>
      </c>
      <c r="AV20" s="29">
        <v>357540.03</v>
      </c>
      <c r="AW20" s="29">
        <v>4935255.2799999993</v>
      </c>
      <c r="AX20" s="29">
        <v>3916636.25</v>
      </c>
      <c r="AY20" s="29">
        <v>250543.33000000002</v>
      </c>
      <c r="AZ20" s="167">
        <f t="shared" si="7"/>
        <v>44546565.490000002</v>
      </c>
      <c r="BA20" s="29">
        <v>18898888.690000001</v>
      </c>
      <c r="BB20" s="29">
        <v>19373546.290000003</v>
      </c>
      <c r="BC20" s="29">
        <v>0</v>
      </c>
      <c r="BD20" s="29">
        <v>968169.71</v>
      </c>
      <c r="BE20" s="29">
        <v>1185447.8400000001</v>
      </c>
      <c r="BF20" s="29">
        <v>3624494.78</v>
      </c>
      <c r="BG20" s="29">
        <v>0</v>
      </c>
      <c r="BH20" s="29">
        <v>496018.18</v>
      </c>
      <c r="BI20" s="29">
        <v>0</v>
      </c>
      <c r="BJ20" s="167">
        <f t="shared" si="8"/>
        <v>139007091.22999999</v>
      </c>
      <c r="BK20" s="167">
        <f t="shared" si="9"/>
        <v>85001763.159999996</v>
      </c>
      <c r="BL20" s="167">
        <f>$BO$9+SUMPRODUCT($D$10:D20,$BK$10:BK20)</f>
        <v>1050691632.1663976</v>
      </c>
      <c r="BM20" s="30">
        <f t="shared" si="10"/>
        <v>4.9000000000000004</v>
      </c>
      <c r="BN20" s="167">
        <f t="shared" si="13"/>
        <v>79096383.261879995</v>
      </c>
      <c r="BO20" s="168">
        <f t="shared" si="11"/>
        <v>1778310049.7255499</v>
      </c>
      <c r="BP20" s="40">
        <f t="shared" si="14"/>
        <v>82666939.52835007</v>
      </c>
      <c r="BQ20" s="40">
        <f t="shared" si="15"/>
        <v>868002865.04767573</v>
      </c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 s="169">
        <f t="shared" si="12"/>
        <v>12</v>
      </c>
      <c r="B21" s="170">
        <f t="shared" si="12"/>
        <v>2035</v>
      </c>
      <c r="C21" s="29">
        <v>4.9000000000000004</v>
      </c>
      <c r="D21" s="167">
        <f t="shared" si="16"/>
        <v>0.56323000000000001</v>
      </c>
      <c r="E21" s="29">
        <v>101628861.13000001</v>
      </c>
      <c r="F21" s="167">
        <f t="shared" si="0"/>
        <v>1581067.5</v>
      </c>
      <c r="G21" s="29">
        <v>1222646.06</v>
      </c>
      <c r="H21" s="29">
        <v>358421.44</v>
      </c>
      <c r="I21" s="29">
        <v>0</v>
      </c>
      <c r="J21" s="29">
        <v>0</v>
      </c>
      <c r="K21" s="29">
        <v>5209.24</v>
      </c>
      <c r="L21" s="29">
        <v>5613949.0199999996</v>
      </c>
      <c r="M21" s="167">
        <f t="shared" si="1"/>
        <v>30653944.126880001</v>
      </c>
      <c r="N21" s="29">
        <v>17109171.618750002</v>
      </c>
      <c r="O21" s="29">
        <v>9392760.8718749993</v>
      </c>
      <c r="P21" s="29">
        <v>0</v>
      </c>
      <c r="Q21" s="29">
        <v>1129761.45</v>
      </c>
      <c r="R21" s="29">
        <v>2225221.7793749999</v>
      </c>
      <c r="S21" s="29">
        <v>797028.40687499999</v>
      </c>
      <c r="T21" s="29">
        <v>0</v>
      </c>
      <c r="U21" s="167">
        <f t="shared" si="2"/>
        <v>23841956.543129999</v>
      </c>
      <c r="V21" s="29">
        <v>13307133.481250003</v>
      </c>
      <c r="W21" s="29">
        <v>7305480.6781250006</v>
      </c>
      <c r="X21" s="29">
        <v>0</v>
      </c>
      <c r="Y21" s="29">
        <v>878703.35000000009</v>
      </c>
      <c r="Z21" s="29">
        <v>1730728.0506250001</v>
      </c>
      <c r="AA21" s="29">
        <v>619910.98312500003</v>
      </c>
      <c r="AB21" s="29">
        <v>0</v>
      </c>
      <c r="AC21" s="167">
        <f t="shared" si="3"/>
        <v>0</v>
      </c>
      <c r="AD21" s="29">
        <v>0</v>
      </c>
      <c r="AE21" s="29">
        <v>0</v>
      </c>
      <c r="AF21" s="29">
        <v>0</v>
      </c>
      <c r="AG21" s="29">
        <v>0</v>
      </c>
      <c r="AH21" s="167">
        <f t="shared" si="4"/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3031689.75</v>
      </c>
      <c r="AO21" s="29">
        <v>172098773.84</v>
      </c>
      <c r="AP21" s="29">
        <v>0</v>
      </c>
      <c r="AQ21" s="29">
        <v>0</v>
      </c>
      <c r="AR21" s="167">
        <f t="shared" si="5"/>
        <v>236826590.02000999</v>
      </c>
      <c r="AS21" s="167">
        <f t="shared" si="6"/>
        <v>93828637.540000007</v>
      </c>
      <c r="AT21" s="29">
        <v>61342856.32</v>
      </c>
      <c r="AU21" s="29">
        <v>23808147.310000002</v>
      </c>
      <c r="AV21" s="29">
        <v>375060.2</v>
      </c>
      <c r="AW21" s="29">
        <v>4486253.5699999994</v>
      </c>
      <c r="AX21" s="29">
        <v>3553499.3899999997</v>
      </c>
      <c r="AY21" s="29">
        <v>262820.75</v>
      </c>
      <c r="AZ21" s="167">
        <f t="shared" si="7"/>
        <v>51052576.219999999</v>
      </c>
      <c r="BA21" s="29">
        <v>21670956.34</v>
      </c>
      <c r="BB21" s="29">
        <v>21899431.900000002</v>
      </c>
      <c r="BC21" s="29">
        <v>0</v>
      </c>
      <c r="BD21" s="29">
        <v>1247583.1300000001</v>
      </c>
      <c r="BE21" s="29">
        <v>1547079.08</v>
      </c>
      <c r="BF21" s="29">
        <v>4163118.4</v>
      </c>
      <c r="BG21" s="29">
        <v>0</v>
      </c>
      <c r="BH21" s="29">
        <v>524407.37</v>
      </c>
      <c r="BI21" s="29">
        <v>0</v>
      </c>
      <c r="BJ21" s="167">
        <f t="shared" si="8"/>
        <v>144881213.75999999</v>
      </c>
      <c r="BK21" s="167">
        <f t="shared" si="9"/>
        <v>91945376.260010004</v>
      </c>
      <c r="BL21" s="167">
        <f>$BO$9+SUMPRODUCT($D$10:D21,$BK$10:BK21)</f>
        <v>1102478026.4373231</v>
      </c>
      <c r="BM21" s="30">
        <f t="shared" si="10"/>
        <v>4.9000000000000004</v>
      </c>
      <c r="BN21" s="167">
        <f t="shared" si="13"/>
        <v>87137192.436550006</v>
      </c>
      <c r="BO21" s="168">
        <f t="shared" si="11"/>
        <v>1957392618.4221101</v>
      </c>
      <c r="BP21" s="40">
        <f t="shared" si="14"/>
        <v>82212171.341689155</v>
      </c>
      <c r="BQ21" s="40">
        <f t="shared" si="15"/>
        <v>945439970.42942524</v>
      </c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 s="169">
        <f t="shared" si="12"/>
        <v>13</v>
      </c>
      <c r="B22" s="170">
        <f t="shared" si="12"/>
        <v>2036</v>
      </c>
      <c r="C22" s="29">
        <v>4.9000000000000004</v>
      </c>
      <c r="D22" s="167">
        <f t="shared" si="16"/>
        <v>0.53691999999999995</v>
      </c>
      <c r="E22" s="29">
        <v>106500206.23</v>
      </c>
      <c r="F22" s="167">
        <f t="shared" si="0"/>
        <v>1596547.96</v>
      </c>
      <c r="G22" s="29">
        <v>1221011.8800000001</v>
      </c>
      <c r="H22" s="29">
        <v>375536.08</v>
      </c>
      <c r="I22" s="29">
        <v>0</v>
      </c>
      <c r="J22" s="29">
        <v>0</v>
      </c>
      <c r="K22" s="29">
        <v>5464.5</v>
      </c>
      <c r="L22" s="29">
        <v>5649607.6299999999</v>
      </c>
      <c r="M22" s="167">
        <f t="shared" si="1"/>
        <v>30259572.524999999</v>
      </c>
      <c r="N22" s="29">
        <v>17137534.426874999</v>
      </c>
      <c r="O22" s="29">
        <v>8988156.5512499996</v>
      </c>
      <c r="P22" s="29">
        <v>0</v>
      </c>
      <c r="Q22" s="29">
        <v>1127155.8825000001</v>
      </c>
      <c r="R22" s="29">
        <v>2219216.6981250001</v>
      </c>
      <c r="S22" s="29">
        <v>787508.96624999994</v>
      </c>
      <c r="T22" s="29">
        <v>0</v>
      </c>
      <c r="U22" s="167">
        <f t="shared" si="2"/>
        <v>23535223.074999999</v>
      </c>
      <c r="V22" s="29">
        <v>13329193.443125002</v>
      </c>
      <c r="W22" s="29">
        <v>6990788.4287500009</v>
      </c>
      <c r="X22" s="29">
        <v>0</v>
      </c>
      <c r="Y22" s="29">
        <v>876676.7975000001</v>
      </c>
      <c r="Z22" s="29">
        <v>1726057.4318750002</v>
      </c>
      <c r="AA22" s="29">
        <v>612506.97375</v>
      </c>
      <c r="AB22" s="29">
        <v>0</v>
      </c>
      <c r="AC22" s="167">
        <f t="shared" si="3"/>
        <v>0</v>
      </c>
      <c r="AD22" s="29">
        <v>0</v>
      </c>
      <c r="AE22" s="29">
        <v>0</v>
      </c>
      <c r="AF22" s="29">
        <v>0</v>
      </c>
      <c r="AG22" s="29">
        <v>0</v>
      </c>
      <c r="AH22" s="167">
        <f t="shared" si="4"/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3471473.26</v>
      </c>
      <c r="AO22" s="29">
        <v>185876706.75999999</v>
      </c>
      <c r="AP22" s="29">
        <v>0</v>
      </c>
      <c r="AQ22" s="29">
        <v>0</v>
      </c>
      <c r="AR22" s="167">
        <f t="shared" si="5"/>
        <v>250394595.71000001</v>
      </c>
      <c r="AS22" s="167">
        <f t="shared" si="6"/>
        <v>94435827.090000004</v>
      </c>
      <c r="AT22" s="29">
        <v>61046298.140000001</v>
      </c>
      <c r="AU22" s="29">
        <v>24842400.400000002</v>
      </c>
      <c r="AV22" s="29">
        <v>393438.81</v>
      </c>
      <c r="AW22" s="29">
        <v>4579284.25</v>
      </c>
      <c r="AX22" s="29">
        <v>3298705.7699999996</v>
      </c>
      <c r="AY22" s="29">
        <v>275699.72000000003</v>
      </c>
      <c r="AZ22" s="167">
        <f t="shared" si="7"/>
        <v>58414366.630000003</v>
      </c>
      <c r="BA22" s="29">
        <v>24564949.270000003</v>
      </c>
      <c r="BB22" s="29">
        <v>24852125.470000003</v>
      </c>
      <c r="BC22" s="29">
        <v>0</v>
      </c>
      <c r="BD22" s="29">
        <v>1670435.79</v>
      </c>
      <c r="BE22" s="29">
        <v>2060226.64</v>
      </c>
      <c r="BF22" s="29">
        <v>4710141.79</v>
      </c>
      <c r="BG22" s="29">
        <v>0</v>
      </c>
      <c r="BH22" s="29">
        <v>556487.67000000004</v>
      </c>
      <c r="BI22" s="29">
        <v>0</v>
      </c>
      <c r="BJ22" s="167">
        <f t="shared" si="8"/>
        <v>152850193.72</v>
      </c>
      <c r="BK22" s="167">
        <f t="shared" si="9"/>
        <v>97544401.989999995</v>
      </c>
      <c r="BL22" s="167">
        <f>$BO$9+SUMPRODUCT($D$10:D22,$BK$10:BK22)</f>
        <v>1154851566.7537937</v>
      </c>
      <c r="BM22" s="30">
        <f t="shared" si="10"/>
        <v>4.9000000000000004</v>
      </c>
      <c r="BN22" s="167">
        <f t="shared" si="13"/>
        <v>95912238.302680001</v>
      </c>
      <c r="BO22" s="168">
        <f t="shared" si="11"/>
        <v>2150849258.7147899</v>
      </c>
      <c r="BP22" s="40">
        <f t="shared" si="14"/>
        <v>82721079.356950805</v>
      </c>
      <c r="BQ22" s="40">
        <f t="shared" si="15"/>
        <v>1034013491.9618851</v>
      </c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 s="169">
        <f t="shared" si="12"/>
        <v>14</v>
      </c>
      <c r="B23" s="170">
        <f t="shared" si="12"/>
        <v>2037</v>
      </c>
      <c r="C23" s="29">
        <v>4.9000000000000004</v>
      </c>
      <c r="D23" s="167">
        <f t="shared" si="16"/>
        <v>0.51183999999999996</v>
      </c>
      <c r="E23" s="29">
        <v>111674768.72</v>
      </c>
      <c r="F23" s="167">
        <f t="shared" si="0"/>
        <v>1558145.13</v>
      </c>
      <c r="G23" s="29">
        <v>1164208.18</v>
      </c>
      <c r="H23" s="29">
        <v>393936.95</v>
      </c>
      <c r="I23" s="29">
        <v>0</v>
      </c>
      <c r="J23" s="29">
        <v>0</v>
      </c>
      <c r="K23" s="29">
        <v>1647.53</v>
      </c>
      <c r="L23" s="29">
        <v>5511662.5600000005</v>
      </c>
      <c r="M23" s="167">
        <f t="shared" si="1"/>
        <v>29419377.75</v>
      </c>
      <c r="N23" s="29">
        <v>17032100.355</v>
      </c>
      <c r="O23" s="29">
        <v>8346556.2599999998</v>
      </c>
      <c r="P23" s="29">
        <v>0</v>
      </c>
      <c r="Q23" s="29">
        <v>1097793.5231250001</v>
      </c>
      <c r="R23" s="29">
        <v>2179000.7493750001</v>
      </c>
      <c r="S23" s="29">
        <v>763926.86249999993</v>
      </c>
      <c r="T23" s="29">
        <v>0</v>
      </c>
      <c r="U23" s="167">
        <f t="shared" si="2"/>
        <v>22881738.25</v>
      </c>
      <c r="V23" s="29">
        <v>13247189.165000003</v>
      </c>
      <c r="W23" s="29">
        <v>6491765.9800000014</v>
      </c>
      <c r="X23" s="29">
        <v>0</v>
      </c>
      <c r="Y23" s="29">
        <v>853839.4068750001</v>
      </c>
      <c r="Z23" s="29">
        <v>1694778.3606250002</v>
      </c>
      <c r="AA23" s="29">
        <v>594165.33750000002</v>
      </c>
      <c r="AB23" s="29">
        <v>0</v>
      </c>
      <c r="AC23" s="167">
        <f t="shared" si="3"/>
        <v>0</v>
      </c>
      <c r="AD23" s="29">
        <v>0</v>
      </c>
      <c r="AE23" s="29">
        <v>0</v>
      </c>
      <c r="AF23" s="29">
        <v>0</v>
      </c>
      <c r="AG23" s="29">
        <v>0</v>
      </c>
      <c r="AH23" s="167">
        <f t="shared" si="4"/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3929996.34</v>
      </c>
      <c r="AO23" s="29">
        <v>200263656.92999998</v>
      </c>
      <c r="AP23" s="29">
        <v>0</v>
      </c>
      <c r="AQ23" s="29">
        <v>0</v>
      </c>
      <c r="AR23" s="167">
        <f t="shared" si="5"/>
        <v>263566224.49000001</v>
      </c>
      <c r="AS23" s="167">
        <f t="shared" si="6"/>
        <v>92114738.670000002</v>
      </c>
      <c r="AT23" s="29">
        <v>57930377.919999994</v>
      </c>
      <c r="AU23" s="29">
        <v>25985914.280000001</v>
      </c>
      <c r="AV23" s="29">
        <v>412716.92</v>
      </c>
      <c r="AW23" s="29">
        <v>4542198.5599999996</v>
      </c>
      <c r="AX23" s="29">
        <v>2989826.9899999998</v>
      </c>
      <c r="AY23" s="29">
        <v>253704</v>
      </c>
      <c r="AZ23" s="167">
        <f t="shared" si="7"/>
        <v>66095438.810000002</v>
      </c>
      <c r="BA23" s="29">
        <v>27520398.98</v>
      </c>
      <c r="BB23" s="29">
        <v>28065873.41</v>
      </c>
      <c r="BC23" s="29">
        <v>0</v>
      </c>
      <c r="BD23" s="29">
        <v>2041547.52</v>
      </c>
      <c r="BE23" s="29">
        <v>2556785.98</v>
      </c>
      <c r="BF23" s="29">
        <v>5315332.0299999993</v>
      </c>
      <c r="BG23" s="29">
        <v>0</v>
      </c>
      <c r="BH23" s="29">
        <v>595500.89</v>
      </c>
      <c r="BI23" s="29">
        <v>0</v>
      </c>
      <c r="BJ23" s="167">
        <f t="shared" si="8"/>
        <v>158210177.47999999</v>
      </c>
      <c r="BK23" s="167">
        <f t="shared" si="9"/>
        <v>105356047.01000001</v>
      </c>
      <c r="BL23" s="167">
        <f>$BO$9+SUMPRODUCT($D$10:D23,$BK$10:BK23)</f>
        <v>1208777005.8553922</v>
      </c>
      <c r="BM23" s="30">
        <f t="shared" si="10"/>
        <v>4.9000000000000004</v>
      </c>
      <c r="BN23" s="167">
        <f t="shared" si="13"/>
        <v>105391613.67703</v>
      </c>
      <c r="BO23" s="168">
        <f t="shared" si="11"/>
        <v>2361596919.4018202</v>
      </c>
      <c r="BP23" s="40">
        <f t="shared" si="14"/>
        <v>81678216.155615509</v>
      </c>
      <c r="BQ23" s="40">
        <f t="shared" si="15"/>
        <v>1102655918.1008093</v>
      </c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5">
      <c r="A24" s="169">
        <f t="shared" si="12"/>
        <v>15</v>
      </c>
      <c r="B24" s="170">
        <f t="shared" si="12"/>
        <v>2038</v>
      </c>
      <c r="C24" s="29">
        <v>4.9000000000000004</v>
      </c>
      <c r="D24" s="167">
        <f t="shared" si="16"/>
        <v>0.48792999999999997</v>
      </c>
      <c r="E24" s="29">
        <v>117143750.37</v>
      </c>
      <c r="F24" s="167">
        <f t="shared" si="0"/>
        <v>1572461.23</v>
      </c>
      <c r="G24" s="29">
        <v>1159219.76</v>
      </c>
      <c r="H24" s="29">
        <v>413241.47000000003</v>
      </c>
      <c r="I24" s="29">
        <v>0</v>
      </c>
      <c r="J24" s="29">
        <v>0</v>
      </c>
      <c r="K24" s="29">
        <v>1728.26</v>
      </c>
      <c r="L24" s="29">
        <v>5626020.5800000001</v>
      </c>
      <c r="M24" s="167">
        <f t="shared" si="1"/>
        <v>28612107.140629999</v>
      </c>
      <c r="N24" s="29">
        <v>17053243.289999999</v>
      </c>
      <c r="O24" s="29">
        <v>7584457.7137499992</v>
      </c>
      <c r="P24" s="29">
        <v>0</v>
      </c>
      <c r="Q24" s="29">
        <v>1083898.8</v>
      </c>
      <c r="R24" s="29">
        <v>2149819.453125</v>
      </c>
      <c r="S24" s="29">
        <v>740687.88375000004</v>
      </c>
      <c r="T24" s="29">
        <v>0</v>
      </c>
      <c r="U24" s="167">
        <f t="shared" si="2"/>
        <v>22253861.109379999</v>
      </c>
      <c r="V24" s="29">
        <v>13263633.670000002</v>
      </c>
      <c r="W24" s="29">
        <v>5899022.6662500007</v>
      </c>
      <c r="X24" s="29">
        <v>0</v>
      </c>
      <c r="Y24" s="29">
        <v>843032.40000000014</v>
      </c>
      <c r="Z24" s="29">
        <v>1672081.7968750002</v>
      </c>
      <c r="AA24" s="29">
        <v>576090.57625000004</v>
      </c>
      <c r="AB24" s="29">
        <v>0</v>
      </c>
      <c r="AC24" s="167">
        <f t="shared" si="3"/>
        <v>0</v>
      </c>
      <c r="AD24" s="29">
        <v>0</v>
      </c>
      <c r="AE24" s="29">
        <v>0</v>
      </c>
      <c r="AF24" s="29">
        <v>0</v>
      </c>
      <c r="AG24" s="29">
        <v>0</v>
      </c>
      <c r="AH24" s="167">
        <f t="shared" si="4"/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4495397.41</v>
      </c>
      <c r="AO24" s="29">
        <v>215930712.81999999</v>
      </c>
      <c r="AP24" s="29">
        <v>0</v>
      </c>
      <c r="AQ24" s="29">
        <v>0</v>
      </c>
      <c r="AR24" s="167">
        <f t="shared" si="5"/>
        <v>278492288.55001003</v>
      </c>
      <c r="AS24" s="167">
        <f t="shared" si="6"/>
        <v>94033153.349999994</v>
      </c>
      <c r="AT24" s="29">
        <v>58429289.919999994</v>
      </c>
      <c r="AU24" s="29">
        <v>27259299.860000003</v>
      </c>
      <c r="AV24" s="29">
        <v>432941.65</v>
      </c>
      <c r="AW24" s="29">
        <v>4674971.8</v>
      </c>
      <c r="AX24" s="29">
        <v>2970513.8699999996</v>
      </c>
      <c r="AY24" s="29">
        <v>266136.25</v>
      </c>
      <c r="AZ24" s="167">
        <f t="shared" si="7"/>
        <v>75553461.340000004</v>
      </c>
      <c r="BA24" s="29">
        <v>31537537.990000002</v>
      </c>
      <c r="BB24" s="29">
        <v>31428415.5</v>
      </c>
      <c r="BC24" s="29">
        <v>0</v>
      </c>
      <c r="BD24" s="29">
        <v>2618552.46</v>
      </c>
      <c r="BE24" s="29">
        <v>3283342.5199999996</v>
      </c>
      <c r="BF24" s="29">
        <v>6055443.6299999999</v>
      </c>
      <c r="BG24" s="29">
        <v>0</v>
      </c>
      <c r="BH24" s="29">
        <v>630169.24</v>
      </c>
      <c r="BI24" s="29">
        <v>0</v>
      </c>
      <c r="BJ24" s="167">
        <f t="shared" si="8"/>
        <v>169586614.69</v>
      </c>
      <c r="BK24" s="167">
        <f t="shared" si="9"/>
        <v>108905673.86001</v>
      </c>
      <c r="BL24" s="167">
        <f>$BO$9+SUMPRODUCT($D$10:D24,$BK$10:BK24)</f>
        <v>1261915351.3019071</v>
      </c>
      <c r="BM24" s="30">
        <f t="shared" si="10"/>
        <v>4.9000000000000004</v>
      </c>
      <c r="BN24" s="167">
        <f t="shared" si="13"/>
        <v>115718249.05069</v>
      </c>
      <c r="BO24" s="168">
        <f t="shared" si="11"/>
        <v>2586220842.31252</v>
      </c>
      <c r="BP24" s="40">
        <f t="shared" si="14"/>
        <v>83517648.057433024</v>
      </c>
      <c r="BQ24" s="40">
        <f t="shared" si="15"/>
        <v>1211005896.8327789</v>
      </c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 s="169">
        <f t="shared" si="12"/>
        <v>16</v>
      </c>
      <c r="B25" s="170">
        <f t="shared" si="12"/>
        <v>2039</v>
      </c>
      <c r="C25" s="29">
        <v>4.9000000000000004</v>
      </c>
      <c r="D25" s="167">
        <f t="shared" si="16"/>
        <v>0.46514</v>
      </c>
      <c r="E25" s="29">
        <v>122857837.16000001</v>
      </c>
      <c r="F25" s="167">
        <f t="shared" si="0"/>
        <v>1550569.48</v>
      </c>
      <c r="G25" s="29">
        <v>1128661.1200000001</v>
      </c>
      <c r="H25" s="29">
        <v>421908.36</v>
      </c>
      <c r="I25" s="29">
        <v>0</v>
      </c>
      <c r="J25" s="29">
        <v>0</v>
      </c>
      <c r="K25" s="29">
        <v>1812.94</v>
      </c>
      <c r="L25" s="29">
        <v>5359890.13</v>
      </c>
      <c r="M25" s="167">
        <f t="shared" si="1"/>
        <v>27286896.52688</v>
      </c>
      <c r="N25" s="29">
        <v>16639258.882500002</v>
      </c>
      <c r="O25" s="29">
        <v>6809580.5681250002</v>
      </c>
      <c r="P25" s="29">
        <v>0</v>
      </c>
      <c r="Q25" s="29">
        <v>1047926.89125</v>
      </c>
      <c r="R25" s="29">
        <v>2085819.4237500001</v>
      </c>
      <c r="S25" s="29">
        <v>704310.76124999998</v>
      </c>
      <c r="T25" s="29">
        <v>0</v>
      </c>
      <c r="U25" s="167">
        <f t="shared" si="2"/>
        <v>21223141.743129998</v>
      </c>
      <c r="V25" s="29">
        <v>12941645.797500003</v>
      </c>
      <c r="W25" s="29">
        <v>5296340.4418750005</v>
      </c>
      <c r="X25" s="29">
        <v>0</v>
      </c>
      <c r="Y25" s="29">
        <v>815054.24875000003</v>
      </c>
      <c r="Z25" s="29">
        <v>1622303.9962500001</v>
      </c>
      <c r="AA25" s="29">
        <v>547797.25875000004</v>
      </c>
      <c r="AB25" s="29">
        <v>0</v>
      </c>
      <c r="AC25" s="167">
        <f t="shared" si="3"/>
        <v>0</v>
      </c>
      <c r="AD25" s="29">
        <v>0</v>
      </c>
      <c r="AE25" s="29">
        <v>0</v>
      </c>
      <c r="AF25" s="29">
        <v>0</v>
      </c>
      <c r="AG25" s="29">
        <v>0</v>
      </c>
      <c r="AH25" s="167">
        <f t="shared" si="4"/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5171454.9799999995</v>
      </c>
      <c r="AO25" s="29">
        <v>232154277.14999998</v>
      </c>
      <c r="AP25" s="29">
        <v>0</v>
      </c>
      <c r="AQ25" s="29">
        <v>0</v>
      </c>
      <c r="AR25" s="167">
        <f t="shared" si="5"/>
        <v>292748042.95001</v>
      </c>
      <c r="AS25" s="167">
        <f t="shared" si="6"/>
        <v>89601610.319999993</v>
      </c>
      <c r="AT25" s="29">
        <v>54402601.379999995</v>
      </c>
      <c r="AU25" s="29">
        <v>27783297.48</v>
      </c>
      <c r="AV25" s="29">
        <v>454154.3</v>
      </c>
      <c r="AW25" s="29">
        <v>3850694.8899999997</v>
      </c>
      <c r="AX25" s="29">
        <v>2840752.98</v>
      </c>
      <c r="AY25" s="29">
        <v>270109.29000000004</v>
      </c>
      <c r="AZ25" s="167">
        <f t="shared" si="7"/>
        <v>86865646.680000007</v>
      </c>
      <c r="BA25" s="29">
        <v>36111264.989999995</v>
      </c>
      <c r="BB25" s="29">
        <v>35520105.619999997</v>
      </c>
      <c r="BC25" s="29">
        <v>0</v>
      </c>
      <c r="BD25" s="29">
        <v>3419532.86</v>
      </c>
      <c r="BE25" s="29">
        <v>4233024.91</v>
      </c>
      <c r="BF25" s="29">
        <v>6906991.5299999993</v>
      </c>
      <c r="BG25" s="29">
        <v>0</v>
      </c>
      <c r="BH25" s="29">
        <v>674726.77</v>
      </c>
      <c r="BI25" s="29">
        <v>0</v>
      </c>
      <c r="BJ25" s="167">
        <f t="shared" si="8"/>
        <v>176467257</v>
      </c>
      <c r="BK25" s="167">
        <f t="shared" si="9"/>
        <v>116280785.95001</v>
      </c>
      <c r="BL25" s="167">
        <f>$BO$9+SUMPRODUCT($D$10:D25,$BK$10:BK25)</f>
        <v>1316002196.0786946</v>
      </c>
      <c r="BM25" s="30">
        <f t="shared" si="10"/>
        <v>4.9000000000000004</v>
      </c>
      <c r="BN25" s="167">
        <f t="shared" si="13"/>
        <v>126724821.27331001</v>
      </c>
      <c r="BO25" s="168">
        <f t="shared" si="11"/>
        <v>2829226449.53584</v>
      </c>
      <c r="BP25" s="40">
        <f t="shared" si="14"/>
        <v>82881751.146821246</v>
      </c>
      <c r="BQ25" s="40">
        <f t="shared" si="15"/>
        <v>1284667142.7757294</v>
      </c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 s="169">
        <f t="shared" si="12"/>
        <v>17</v>
      </c>
      <c r="B26" s="170">
        <f t="shared" si="12"/>
        <v>2040</v>
      </c>
      <c r="C26" s="29">
        <v>4.9000000000000004</v>
      </c>
      <c r="D26" s="167">
        <f t="shared" si="16"/>
        <v>0.44341000000000003</v>
      </c>
      <c r="E26" s="29">
        <v>128588263.38000001</v>
      </c>
      <c r="F26" s="167">
        <f t="shared" si="0"/>
        <v>1556144.04</v>
      </c>
      <c r="G26" s="29">
        <v>1128589.27</v>
      </c>
      <c r="H26" s="29">
        <v>427554.77</v>
      </c>
      <c r="I26" s="29">
        <v>0</v>
      </c>
      <c r="J26" s="29">
        <v>0</v>
      </c>
      <c r="K26" s="29">
        <v>1901.78</v>
      </c>
      <c r="L26" s="29">
        <v>5346014.0399999991</v>
      </c>
      <c r="M26" s="167">
        <f t="shared" si="1"/>
        <v>25319852.859379999</v>
      </c>
      <c r="N26" s="29">
        <v>16046044.998750001</v>
      </c>
      <c r="O26" s="29">
        <v>5668389.2756249998</v>
      </c>
      <c r="P26" s="29">
        <v>0</v>
      </c>
      <c r="Q26" s="29">
        <v>978062.32687500003</v>
      </c>
      <c r="R26" s="29">
        <v>1976486.3887499997</v>
      </c>
      <c r="S26" s="29">
        <v>650869.86937500001</v>
      </c>
      <c r="T26" s="29">
        <v>0</v>
      </c>
      <c r="U26" s="167">
        <f t="shared" si="2"/>
        <v>19693218.890629999</v>
      </c>
      <c r="V26" s="29">
        <v>12480257.221250003</v>
      </c>
      <c r="W26" s="29">
        <v>4408747.2143750004</v>
      </c>
      <c r="X26" s="29">
        <v>0</v>
      </c>
      <c r="Y26" s="29">
        <v>760715.14312500006</v>
      </c>
      <c r="Z26" s="29">
        <v>1537267.1912499999</v>
      </c>
      <c r="AA26" s="29">
        <v>506232.12062500004</v>
      </c>
      <c r="AB26" s="29">
        <v>0</v>
      </c>
      <c r="AC26" s="167">
        <f t="shared" si="3"/>
        <v>0</v>
      </c>
      <c r="AD26" s="29">
        <v>0</v>
      </c>
      <c r="AE26" s="29">
        <v>0</v>
      </c>
      <c r="AF26" s="29">
        <v>0</v>
      </c>
      <c r="AG26" s="29">
        <v>0</v>
      </c>
      <c r="AH26" s="167">
        <f t="shared" si="4"/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5798287.0999999996</v>
      </c>
      <c r="AO26" s="29">
        <v>0</v>
      </c>
      <c r="AP26" s="29">
        <v>0</v>
      </c>
      <c r="AQ26" s="29">
        <v>0</v>
      </c>
      <c r="AR26" s="167">
        <f t="shared" si="5"/>
        <v>57715418.71001</v>
      </c>
      <c r="AS26" s="167">
        <f t="shared" si="6"/>
        <v>89332695.75</v>
      </c>
      <c r="AT26" s="29">
        <v>53211847.059999995</v>
      </c>
      <c r="AU26" s="29">
        <v>28754013.600000001</v>
      </c>
      <c r="AV26" s="29">
        <v>476410.42</v>
      </c>
      <c r="AW26" s="29">
        <v>3781651.3099999996</v>
      </c>
      <c r="AX26" s="29">
        <v>2876312.4099999997</v>
      </c>
      <c r="AY26" s="29">
        <v>232460.95</v>
      </c>
      <c r="AZ26" s="167">
        <f t="shared" si="7"/>
        <v>97356940.609999999</v>
      </c>
      <c r="BA26" s="29">
        <v>40845269.589999996</v>
      </c>
      <c r="BB26" s="29">
        <v>38936019.689999998</v>
      </c>
      <c r="BC26" s="29">
        <v>0</v>
      </c>
      <c r="BD26" s="29">
        <v>4048262.2199999997</v>
      </c>
      <c r="BE26" s="29">
        <v>5107787.8999999994</v>
      </c>
      <c r="BF26" s="29">
        <v>7700775.9299999997</v>
      </c>
      <c r="BG26" s="29">
        <v>0</v>
      </c>
      <c r="BH26" s="29">
        <v>718825.28</v>
      </c>
      <c r="BI26" s="29">
        <v>0</v>
      </c>
      <c r="BJ26" s="167">
        <f t="shared" si="8"/>
        <v>186689636.36000001</v>
      </c>
      <c r="BK26" s="167">
        <f t="shared" si="9"/>
        <v>-128974217.64999001</v>
      </c>
      <c r="BL26" s="167">
        <f>$BO$9+SUMPRODUCT($D$10:D26,$BK$10:BK26)</f>
        <v>1258813738.2305126</v>
      </c>
      <c r="BM26" s="30">
        <f t="shared" si="10"/>
        <v>4.9000000000000004</v>
      </c>
      <c r="BN26" s="167">
        <f t="shared" si="13"/>
        <v>138632096.02726001</v>
      </c>
      <c r="BO26" s="168">
        <f t="shared" si="11"/>
        <v>2838884327.9131098</v>
      </c>
      <c r="BP26" s="40">
        <f t="shared" si="14"/>
        <v>83647336.238031983</v>
      </c>
      <c r="BQ26" s="40">
        <f t="shared" si="15"/>
        <v>1380181047.9275277</v>
      </c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A27" s="169">
        <f t="shared" ref="A27:B42" si="17">A26+1</f>
        <v>18</v>
      </c>
      <c r="B27" s="170">
        <f t="shared" si="17"/>
        <v>2041</v>
      </c>
      <c r="C27" s="29">
        <v>4.9000000000000004</v>
      </c>
      <c r="D27" s="167">
        <f t="shared" si="16"/>
        <v>0.42270000000000002</v>
      </c>
      <c r="E27" s="29">
        <v>134860202.48999998</v>
      </c>
      <c r="F27" s="167">
        <f t="shared" si="0"/>
        <v>1536300.26</v>
      </c>
      <c r="G27" s="29">
        <v>1087797.8500000001</v>
      </c>
      <c r="H27" s="29">
        <v>448502.41000000003</v>
      </c>
      <c r="I27" s="29">
        <v>0</v>
      </c>
      <c r="J27" s="29">
        <v>0</v>
      </c>
      <c r="K27" s="29">
        <v>1994.96</v>
      </c>
      <c r="L27" s="29">
        <v>5219694.58</v>
      </c>
      <c r="M27" s="167">
        <f t="shared" si="1"/>
        <v>23515492.93313</v>
      </c>
      <c r="N27" s="29">
        <v>15142652.836875001</v>
      </c>
      <c r="O27" s="29">
        <v>4963229.9774999991</v>
      </c>
      <c r="P27" s="29">
        <v>0</v>
      </c>
      <c r="Q27" s="29">
        <v>924537.92625000002</v>
      </c>
      <c r="R27" s="29">
        <v>1879173.1968749999</v>
      </c>
      <c r="S27" s="29">
        <v>605898.99562499998</v>
      </c>
      <c r="T27" s="29">
        <v>0</v>
      </c>
      <c r="U27" s="167">
        <f t="shared" si="2"/>
        <v>18289827.836879998</v>
      </c>
      <c r="V27" s="29">
        <v>11777618.873125002</v>
      </c>
      <c r="W27" s="29">
        <v>3860289.9824999999</v>
      </c>
      <c r="X27" s="29">
        <v>0</v>
      </c>
      <c r="Y27" s="29">
        <v>719085.05375000008</v>
      </c>
      <c r="Z27" s="29">
        <v>1461579.153125</v>
      </c>
      <c r="AA27" s="29">
        <v>471254.7743750001</v>
      </c>
      <c r="AB27" s="29">
        <v>0</v>
      </c>
      <c r="AC27" s="167">
        <f t="shared" si="3"/>
        <v>0</v>
      </c>
      <c r="AD27" s="29">
        <v>0</v>
      </c>
      <c r="AE27" s="29">
        <v>0</v>
      </c>
      <c r="AF27" s="29">
        <v>0</v>
      </c>
      <c r="AG27" s="29">
        <v>0</v>
      </c>
      <c r="AH27" s="167">
        <f t="shared" si="4"/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6463081.54</v>
      </c>
      <c r="AO27" s="29">
        <v>0</v>
      </c>
      <c r="AP27" s="29">
        <v>0</v>
      </c>
      <c r="AQ27" s="29">
        <v>0</v>
      </c>
      <c r="AR27" s="167">
        <f t="shared" si="5"/>
        <v>55026392.110009998</v>
      </c>
      <c r="AS27" s="167">
        <f t="shared" si="6"/>
        <v>87227251.379999995</v>
      </c>
      <c r="AT27" s="29">
        <v>49920293.289999999</v>
      </c>
      <c r="AU27" s="29">
        <v>29794105.560000002</v>
      </c>
      <c r="AV27" s="29">
        <v>499751.94</v>
      </c>
      <c r="AW27" s="29">
        <v>3883402.9299999997</v>
      </c>
      <c r="AX27" s="29">
        <v>2897350.8099999996</v>
      </c>
      <c r="AY27" s="29">
        <v>232346.85</v>
      </c>
      <c r="AZ27" s="167">
        <f t="shared" si="7"/>
        <v>108479951.8</v>
      </c>
      <c r="BA27" s="29">
        <v>45740899.339999996</v>
      </c>
      <c r="BB27" s="29">
        <v>42571735.799999997</v>
      </c>
      <c r="BC27" s="29">
        <v>0</v>
      </c>
      <c r="BD27" s="29">
        <v>4784455.58</v>
      </c>
      <c r="BE27" s="29">
        <v>6081212.4299999997</v>
      </c>
      <c r="BF27" s="29">
        <v>8539729.7799999993</v>
      </c>
      <c r="BG27" s="29">
        <v>0</v>
      </c>
      <c r="BH27" s="29">
        <v>761918.87</v>
      </c>
      <c r="BI27" s="29">
        <v>0</v>
      </c>
      <c r="BJ27" s="167">
        <f t="shared" si="8"/>
        <v>195707203.18000001</v>
      </c>
      <c r="BK27" s="167">
        <f t="shared" si="9"/>
        <v>-140680811.06999001</v>
      </c>
      <c r="BL27" s="167">
        <f>$BO$9+SUMPRODUCT($D$10:D27,$BK$10:BK27)</f>
        <v>1199347959.3912277</v>
      </c>
      <c r="BM27" s="30">
        <f t="shared" si="10"/>
        <v>4.9000000000000004</v>
      </c>
      <c r="BN27" s="167">
        <f t="shared" si="13"/>
        <v>139105332.06773999</v>
      </c>
      <c r="BO27" s="168">
        <f t="shared" si="11"/>
        <v>2837308848.9108601</v>
      </c>
      <c r="BP27" s="40">
        <f t="shared" si="14"/>
        <v>83634132.834055752</v>
      </c>
      <c r="BQ27" s="40">
        <f t="shared" si="15"/>
        <v>1463597324.5959756</v>
      </c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 s="169">
        <f t="shared" si="17"/>
        <v>19</v>
      </c>
      <c r="B28" s="170">
        <f t="shared" si="17"/>
        <v>2042</v>
      </c>
      <c r="C28" s="29">
        <v>4.9000000000000004</v>
      </c>
      <c r="D28" s="167">
        <f t="shared" si="16"/>
        <v>0.40295999999999998</v>
      </c>
      <c r="E28" s="29">
        <v>140865474.81</v>
      </c>
      <c r="F28" s="167">
        <f t="shared" si="0"/>
        <v>1426299.76</v>
      </c>
      <c r="G28" s="29">
        <v>964968.15</v>
      </c>
      <c r="H28" s="29">
        <v>461331.61</v>
      </c>
      <c r="I28" s="29">
        <v>0</v>
      </c>
      <c r="J28" s="29">
        <v>0</v>
      </c>
      <c r="K28" s="29">
        <v>2092.7200000000003</v>
      </c>
      <c r="L28" s="29">
        <v>4832080.1399999997</v>
      </c>
      <c r="M28" s="167">
        <f t="shared" si="1"/>
        <v>21863799.112500001</v>
      </c>
      <c r="N28" s="29">
        <v>14422653.247500001</v>
      </c>
      <c r="O28" s="29">
        <v>4206048.4349999996</v>
      </c>
      <c r="P28" s="29">
        <v>0</v>
      </c>
      <c r="Q28" s="29">
        <v>875857.26375000004</v>
      </c>
      <c r="R28" s="29">
        <v>1793487.2737499999</v>
      </c>
      <c r="S28" s="29">
        <v>565752.89250000007</v>
      </c>
      <c r="T28" s="29">
        <v>0</v>
      </c>
      <c r="U28" s="167">
        <f t="shared" si="2"/>
        <v>17005177.087499999</v>
      </c>
      <c r="V28" s="29">
        <v>11217619.192500003</v>
      </c>
      <c r="W28" s="29">
        <v>3271371.0050000004</v>
      </c>
      <c r="X28" s="29">
        <v>0</v>
      </c>
      <c r="Y28" s="29">
        <v>681222.31625000015</v>
      </c>
      <c r="Z28" s="29">
        <v>1394934.5462500001</v>
      </c>
      <c r="AA28" s="29">
        <v>440030.02750000008</v>
      </c>
      <c r="AB28" s="29">
        <v>0</v>
      </c>
      <c r="AC28" s="167">
        <f t="shared" si="3"/>
        <v>0</v>
      </c>
      <c r="AD28" s="29">
        <v>0</v>
      </c>
      <c r="AE28" s="29">
        <v>0</v>
      </c>
      <c r="AF28" s="29">
        <v>0</v>
      </c>
      <c r="AG28" s="29">
        <v>0</v>
      </c>
      <c r="AH28" s="167">
        <f t="shared" si="4"/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7125345.0999999996</v>
      </c>
      <c r="AO28" s="29">
        <v>0</v>
      </c>
      <c r="AP28" s="29">
        <v>0</v>
      </c>
      <c r="AQ28" s="29">
        <v>0</v>
      </c>
      <c r="AR28" s="167">
        <f t="shared" si="5"/>
        <v>52254793.920000002</v>
      </c>
      <c r="AS28" s="167">
        <f t="shared" si="6"/>
        <v>80747710.629999995</v>
      </c>
      <c r="AT28" s="29">
        <v>42950811.509999998</v>
      </c>
      <c r="AU28" s="29">
        <v>30651483.120000001</v>
      </c>
      <c r="AV28" s="29">
        <v>524234.3</v>
      </c>
      <c r="AW28" s="29">
        <v>3620332.7199999997</v>
      </c>
      <c r="AX28" s="29">
        <v>2787809.23</v>
      </c>
      <c r="AY28" s="29">
        <v>213039.75</v>
      </c>
      <c r="AZ28" s="167">
        <f t="shared" si="7"/>
        <v>119571601.48</v>
      </c>
      <c r="BA28" s="29">
        <v>50981258.280000001</v>
      </c>
      <c r="BB28" s="29">
        <v>45631724.5</v>
      </c>
      <c r="BC28" s="29">
        <v>0</v>
      </c>
      <c r="BD28" s="29">
        <v>5549390.0699999994</v>
      </c>
      <c r="BE28" s="29">
        <v>7235799.3399999999</v>
      </c>
      <c r="BF28" s="29">
        <v>9357581.0700000003</v>
      </c>
      <c r="BG28" s="29">
        <v>0</v>
      </c>
      <c r="BH28" s="29">
        <v>815848.22</v>
      </c>
      <c r="BI28" s="29">
        <v>0</v>
      </c>
      <c r="BJ28" s="167">
        <f t="shared" si="8"/>
        <v>200319312.11000001</v>
      </c>
      <c r="BK28" s="167">
        <f t="shared" si="9"/>
        <v>-148064518.19</v>
      </c>
      <c r="BL28" s="167">
        <f>$BO$9+SUMPRODUCT($D$10:D28,$BK$10:BK28)</f>
        <v>1139683881.1413853</v>
      </c>
      <c r="BM28" s="30">
        <f t="shared" si="10"/>
        <v>4.9000000000000004</v>
      </c>
      <c r="BN28" s="167">
        <f t="shared" si="13"/>
        <v>139028133.59663001</v>
      </c>
      <c r="BO28" s="168">
        <f t="shared" si="11"/>
        <v>2828272464.3174901</v>
      </c>
      <c r="BP28" s="40">
        <f t="shared" si="14"/>
        <v>81662096.611917108</v>
      </c>
      <c r="BQ28" s="40">
        <f t="shared" si="15"/>
        <v>1510748787.3204665</v>
      </c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 s="169">
        <f t="shared" si="17"/>
        <v>20</v>
      </c>
      <c r="B29" s="170">
        <f t="shared" si="17"/>
        <v>2043</v>
      </c>
      <c r="C29" s="29">
        <v>4.9000000000000004</v>
      </c>
      <c r="D29" s="167">
        <f t="shared" si="16"/>
        <v>0.38413999999999998</v>
      </c>
      <c r="E29" s="29">
        <v>147588603.16999999</v>
      </c>
      <c r="F29" s="167">
        <f t="shared" si="0"/>
        <v>1310211.8500000001</v>
      </c>
      <c r="G29" s="29">
        <v>826278.19000000006</v>
      </c>
      <c r="H29" s="29">
        <v>483933.66000000003</v>
      </c>
      <c r="I29" s="29">
        <v>0</v>
      </c>
      <c r="J29" s="29">
        <v>0</v>
      </c>
      <c r="K29" s="29">
        <v>2195.2600000000002</v>
      </c>
      <c r="L29" s="29">
        <v>4659235.09</v>
      </c>
      <c r="M29" s="167">
        <f t="shared" si="1"/>
        <v>20335011.485629998</v>
      </c>
      <c r="N29" s="29">
        <v>13518703.873125002</v>
      </c>
      <c r="O29" s="29">
        <v>3750630.4124999996</v>
      </c>
      <c r="P29" s="29">
        <v>0</v>
      </c>
      <c r="Q29" s="29">
        <v>830489.06812499999</v>
      </c>
      <c r="R29" s="29">
        <v>1704177.9787499998</v>
      </c>
      <c r="S29" s="29">
        <v>531010.15312500007</v>
      </c>
      <c r="T29" s="29">
        <v>0</v>
      </c>
      <c r="U29" s="167">
        <f t="shared" si="2"/>
        <v>15816120.04438</v>
      </c>
      <c r="V29" s="29">
        <v>10514547.456875002</v>
      </c>
      <c r="W29" s="29">
        <v>2917156.9875000003</v>
      </c>
      <c r="X29" s="29">
        <v>0</v>
      </c>
      <c r="Y29" s="29">
        <v>645935.94187500014</v>
      </c>
      <c r="Z29" s="29">
        <v>1325471.76125</v>
      </c>
      <c r="AA29" s="29">
        <v>413007.89687500009</v>
      </c>
      <c r="AB29" s="29">
        <v>0</v>
      </c>
      <c r="AC29" s="167">
        <f t="shared" si="3"/>
        <v>0</v>
      </c>
      <c r="AD29" s="29">
        <v>0</v>
      </c>
      <c r="AE29" s="29">
        <v>0</v>
      </c>
      <c r="AF29" s="29">
        <v>0</v>
      </c>
      <c r="AG29" s="29">
        <v>0</v>
      </c>
      <c r="AH29" s="167">
        <f t="shared" si="4"/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7946557.1799999997</v>
      </c>
      <c r="AO29" s="29">
        <v>0</v>
      </c>
      <c r="AP29" s="29">
        <v>0</v>
      </c>
      <c r="AQ29" s="29">
        <v>0</v>
      </c>
      <c r="AR29" s="167">
        <f t="shared" si="5"/>
        <v>50069330.910010003</v>
      </c>
      <c r="AS29" s="167">
        <f t="shared" si="6"/>
        <v>77873909.870000005</v>
      </c>
      <c r="AT29" s="29">
        <v>39275937.519999996</v>
      </c>
      <c r="AU29" s="29">
        <v>31708046.98</v>
      </c>
      <c r="AV29" s="29">
        <v>413452.35000000003</v>
      </c>
      <c r="AW29" s="29">
        <v>3559880.51</v>
      </c>
      <c r="AX29" s="29">
        <v>2696609.86</v>
      </c>
      <c r="AY29" s="29">
        <v>219982.65000000002</v>
      </c>
      <c r="AZ29" s="167">
        <f t="shared" si="7"/>
        <v>133284675.69</v>
      </c>
      <c r="BA29" s="29">
        <v>57771458.619999997</v>
      </c>
      <c r="BB29" s="29">
        <v>49120686.729999997</v>
      </c>
      <c r="BC29" s="29">
        <v>0</v>
      </c>
      <c r="BD29" s="29">
        <v>6468551.7400000002</v>
      </c>
      <c r="BE29" s="29">
        <v>8669857.0499999989</v>
      </c>
      <c r="BF29" s="29">
        <v>10412063.709999999</v>
      </c>
      <c r="BG29" s="29">
        <v>0</v>
      </c>
      <c r="BH29" s="29">
        <v>842057.84</v>
      </c>
      <c r="BI29" s="29">
        <v>0</v>
      </c>
      <c r="BJ29" s="167">
        <f t="shared" si="8"/>
        <v>211158585.56</v>
      </c>
      <c r="BK29" s="167">
        <f t="shared" si="9"/>
        <v>-161089254.64998999</v>
      </c>
      <c r="BL29" s="167">
        <f>$BO$9+SUMPRODUCT($D$10:D29,$BK$10:BK29)</f>
        <v>1077803054.8601382</v>
      </c>
      <c r="BM29" s="30">
        <f t="shared" si="10"/>
        <v>4.9000000000000004</v>
      </c>
      <c r="BN29" s="167">
        <f t="shared" si="13"/>
        <v>138585350.75156</v>
      </c>
      <c r="BO29" s="168">
        <f t="shared" si="11"/>
        <v>2805768560.4190602</v>
      </c>
      <c r="BP29" s="40">
        <f t="shared" si="14"/>
        <v>82144794.473849714</v>
      </c>
      <c r="BQ29" s="40">
        <f t="shared" si="15"/>
        <v>1601823492.2400694</v>
      </c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 s="169">
        <f t="shared" si="17"/>
        <v>21</v>
      </c>
      <c r="B30" s="170">
        <f t="shared" si="17"/>
        <v>2044</v>
      </c>
      <c r="C30" s="29">
        <v>4.9000000000000004</v>
      </c>
      <c r="D30" s="167">
        <f t="shared" si="16"/>
        <v>0.36620000000000003</v>
      </c>
      <c r="E30" s="29">
        <v>153287509.38</v>
      </c>
      <c r="F30" s="167">
        <f t="shared" si="0"/>
        <v>1125820.43</v>
      </c>
      <c r="G30" s="29">
        <v>655733.07999999996</v>
      </c>
      <c r="H30" s="29">
        <v>470087.35000000003</v>
      </c>
      <c r="I30" s="29">
        <v>0</v>
      </c>
      <c r="J30" s="29">
        <v>0</v>
      </c>
      <c r="K30" s="29">
        <v>796.18999999999994</v>
      </c>
      <c r="L30" s="29">
        <v>4273818.09</v>
      </c>
      <c r="M30" s="167">
        <f t="shared" si="1"/>
        <v>17988180.2775</v>
      </c>
      <c r="N30" s="29">
        <v>12032945.98875</v>
      </c>
      <c r="O30" s="29">
        <v>3159720.5962499999</v>
      </c>
      <c r="P30" s="29">
        <v>0</v>
      </c>
      <c r="Q30" s="29">
        <v>761357.18250000011</v>
      </c>
      <c r="R30" s="29">
        <v>1554972.868125</v>
      </c>
      <c r="S30" s="29">
        <v>479183.64187500003</v>
      </c>
      <c r="T30" s="29">
        <v>0</v>
      </c>
      <c r="U30" s="167">
        <f t="shared" si="2"/>
        <v>13990806.8825</v>
      </c>
      <c r="V30" s="29">
        <v>9358957.9912500009</v>
      </c>
      <c r="W30" s="29">
        <v>2457560.4637500001</v>
      </c>
      <c r="X30" s="29">
        <v>0</v>
      </c>
      <c r="Y30" s="29">
        <v>592166.69750000013</v>
      </c>
      <c r="Z30" s="29">
        <v>1209423.3418750002</v>
      </c>
      <c r="AA30" s="29">
        <v>372698.38812500006</v>
      </c>
      <c r="AB30" s="29">
        <v>0</v>
      </c>
      <c r="AC30" s="167">
        <f t="shared" si="3"/>
        <v>0</v>
      </c>
      <c r="AD30" s="29">
        <v>0</v>
      </c>
      <c r="AE30" s="29">
        <v>0</v>
      </c>
      <c r="AF30" s="29">
        <v>0</v>
      </c>
      <c r="AG30" s="29">
        <v>0</v>
      </c>
      <c r="AH30" s="167">
        <f t="shared" si="4"/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8684073.7699999996</v>
      </c>
      <c r="AO30" s="29">
        <v>0</v>
      </c>
      <c r="AP30" s="29">
        <v>0</v>
      </c>
      <c r="AQ30" s="29">
        <v>0</v>
      </c>
      <c r="AR30" s="167">
        <f t="shared" si="5"/>
        <v>46063495.640000001</v>
      </c>
      <c r="AS30" s="167">
        <f t="shared" si="6"/>
        <v>71432015.019999996</v>
      </c>
      <c r="AT30" s="29">
        <v>33645689.82</v>
      </c>
      <c r="AU30" s="29">
        <v>31464372.66</v>
      </c>
      <c r="AV30" s="29">
        <v>433706.46</v>
      </c>
      <c r="AW30" s="29">
        <v>3562421.0599999996</v>
      </c>
      <c r="AX30" s="29">
        <v>2124105.7699999996</v>
      </c>
      <c r="AY30" s="29">
        <v>201719.25</v>
      </c>
      <c r="AZ30" s="167">
        <f t="shared" si="7"/>
        <v>145609950.87</v>
      </c>
      <c r="BA30" s="29">
        <v>63362552.079999998</v>
      </c>
      <c r="BB30" s="29">
        <v>52941006.32</v>
      </c>
      <c r="BC30" s="29">
        <v>0</v>
      </c>
      <c r="BD30" s="29">
        <v>7218548.0699999994</v>
      </c>
      <c r="BE30" s="29">
        <v>9928914.3499999996</v>
      </c>
      <c r="BF30" s="29">
        <v>11283544.949999999</v>
      </c>
      <c r="BG30" s="29">
        <v>0</v>
      </c>
      <c r="BH30" s="29">
        <v>875385.1</v>
      </c>
      <c r="BI30" s="29">
        <v>0</v>
      </c>
      <c r="BJ30" s="167">
        <f t="shared" si="8"/>
        <v>217041965.88999999</v>
      </c>
      <c r="BK30" s="167">
        <f t="shared" si="9"/>
        <v>-170978470.25</v>
      </c>
      <c r="BL30" s="167">
        <f>$BO$9+SUMPRODUCT($D$10:D30,$BK$10:BK30)</f>
        <v>1015190739.0545882</v>
      </c>
      <c r="BM30" s="30">
        <f t="shared" si="10"/>
        <v>4.9000000000000004</v>
      </c>
      <c r="BN30" s="167">
        <f t="shared" si="13"/>
        <v>137482659.46053001</v>
      </c>
      <c r="BO30" s="168">
        <f t="shared" si="11"/>
        <v>2772272749.62959</v>
      </c>
      <c r="BP30" s="40">
        <f t="shared" si="14"/>
        <v>80577854.10249877</v>
      </c>
      <c r="BQ30" s="40">
        <f t="shared" si="15"/>
        <v>1651846009.1012249</v>
      </c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A31" s="169">
        <f t="shared" si="17"/>
        <v>22</v>
      </c>
      <c r="B31" s="170">
        <f t="shared" si="17"/>
        <v>2045</v>
      </c>
      <c r="C31" s="29">
        <v>4.9000000000000004</v>
      </c>
      <c r="D31" s="167">
        <f t="shared" si="16"/>
        <v>0.34909000000000001</v>
      </c>
      <c r="E31" s="29">
        <v>159931190.66</v>
      </c>
      <c r="F31" s="167">
        <f t="shared" si="0"/>
        <v>887235.65</v>
      </c>
      <c r="G31" s="29">
        <v>439642.95</v>
      </c>
      <c r="H31" s="29">
        <v>447592.7</v>
      </c>
      <c r="I31" s="29">
        <v>0</v>
      </c>
      <c r="J31" s="29">
        <v>0</v>
      </c>
      <c r="K31" s="29">
        <v>835.21</v>
      </c>
      <c r="L31" s="29">
        <v>3623224.4499999997</v>
      </c>
      <c r="M31" s="167">
        <f t="shared" si="1"/>
        <v>15639915.7125</v>
      </c>
      <c r="N31" s="29">
        <v>10633982.0625</v>
      </c>
      <c r="O31" s="29">
        <v>2509959.0262500001</v>
      </c>
      <c r="P31" s="29">
        <v>0</v>
      </c>
      <c r="Q31" s="29">
        <v>676243.04062500002</v>
      </c>
      <c r="R31" s="29">
        <v>1396385.9943749998</v>
      </c>
      <c r="S31" s="29">
        <v>423345.58875</v>
      </c>
      <c r="T31" s="29">
        <v>0</v>
      </c>
      <c r="U31" s="167">
        <f t="shared" si="2"/>
        <v>12164378.887499999</v>
      </c>
      <c r="V31" s="29">
        <v>8270874.9375000009</v>
      </c>
      <c r="W31" s="29">
        <v>1952190.3537500002</v>
      </c>
      <c r="X31" s="29">
        <v>0</v>
      </c>
      <c r="Y31" s="29">
        <v>525966.80937500007</v>
      </c>
      <c r="Z31" s="29">
        <v>1086077.995625</v>
      </c>
      <c r="AA31" s="29">
        <v>329268.79125000007</v>
      </c>
      <c r="AB31" s="29">
        <v>0</v>
      </c>
      <c r="AC31" s="167">
        <f t="shared" si="3"/>
        <v>0</v>
      </c>
      <c r="AD31" s="29">
        <v>0</v>
      </c>
      <c r="AE31" s="29">
        <v>0</v>
      </c>
      <c r="AF31" s="29">
        <v>0</v>
      </c>
      <c r="AG31" s="29">
        <v>0</v>
      </c>
      <c r="AH31" s="167">
        <f t="shared" si="4"/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9404502.7699999996</v>
      </c>
      <c r="AO31" s="29">
        <v>0</v>
      </c>
      <c r="AP31" s="29">
        <v>0</v>
      </c>
      <c r="AQ31" s="29">
        <v>0</v>
      </c>
      <c r="AR31" s="167">
        <f t="shared" si="5"/>
        <v>41720092.68</v>
      </c>
      <c r="AS31" s="167">
        <f t="shared" si="6"/>
        <v>60587646.380000003</v>
      </c>
      <c r="AT31" s="29">
        <v>24852468.860000003</v>
      </c>
      <c r="AU31" s="29">
        <v>30522334.850000001</v>
      </c>
      <c r="AV31" s="29">
        <v>299744.90000000002</v>
      </c>
      <c r="AW31" s="29">
        <v>3125600.03</v>
      </c>
      <c r="AX31" s="29">
        <v>1586932.39</v>
      </c>
      <c r="AY31" s="29">
        <v>200565.35</v>
      </c>
      <c r="AZ31" s="167">
        <f t="shared" si="7"/>
        <v>157632359.75999999</v>
      </c>
      <c r="BA31" s="29">
        <v>69143681.150000006</v>
      </c>
      <c r="BB31" s="29">
        <v>56022281.039999999</v>
      </c>
      <c r="BC31" s="29">
        <v>0</v>
      </c>
      <c r="BD31" s="29">
        <v>8069473.7699999996</v>
      </c>
      <c r="BE31" s="29">
        <v>11369731.77</v>
      </c>
      <c r="BF31" s="29">
        <v>12136546.369999999</v>
      </c>
      <c r="BG31" s="29">
        <v>0</v>
      </c>
      <c r="BH31" s="29">
        <v>890645.66</v>
      </c>
      <c r="BI31" s="29">
        <v>0</v>
      </c>
      <c r="BJ31" s="167">
        <f t="shared" si="8"/>
        <v>218220006.13999999</v>
      </c>
      <c r="BK31" s="167">
        <f t="shared" si="9"/>
        <v>-176499913.46000001</v>
      </c>
      <c r="BL31" s="167">
        <f>$BO$9+SUMPRODUCT($D$10:D31,$BK$10:BK31)</f>
        <v>953576384.26483679</v>
      </c>
      <c r="BM31" s="30">
        <f t="shared" si="10"/>
        <v>4.9000000000000004</v>
      </c>
      <c r="BN31" s="167">
        <f t="shared" si="13"/>
        <v>135841364.73185</v>
      </c>
      <c r="BO31" s="168">
        <f t="shared" si="11"/>
        <v>2731614200.9014401</v>
      </c>
      <c r="BP31" s="40">
        <f t="shared" si="14"/>
        <v>77315428.74472174</v>
      </c>
      <c r="BQ31" s="40">
        <f t="shared" si="15"/>
        <v>1662281718.0115175</v>
      </c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 s="169">
        <f t="shared" si="17"/>
        <v>23</v>
      </c>
      <c r="B32" s="170">
        <f t="shared" si="17"/>
        <v>2046</v>
      </c>
      <c r="C32" s="29">
        <v>4.9000000000000004</v>
      </c>
      <c r="D32" s="167">
        <f t="shared" si="16"/>
        <v>0.33278000000000002</v>
      </c>
      <c r="E32" s="29">
        <v>166526678</v>
      </c>
      <c r="F32" s="167">
        <f t="shared" si="0"/>
        <v>746418.55</v>
      </c>
      <c r="G32" s="29">
        <v>359566.39</v>
      </c>
      <c r="H32" s="29">
        <v>386852.16000000003</v>
      </c>
      <c r="I32" s="29">
        <v>0</v>
      </c>
      <c r="J32" s="29">
        <v>0</v>
      </c>
      <c r="K32" s="29">
        <v>876.13</v>
      </c>
      <c r="L32" s="29">
        <v>3291540.5799999996</v>
      </c>
      <c r="M32" s="167">
        <f t="shared" si="1"/>
        <v>13804868.098130001</v>
      </c>
      <c r="N32" s="29">
        <v>9369156.6281249989</v>
      </c>
      <c r="O32" s="29">
        <v>2167857.82125</v>
      </c>
      <c r="P32" s="29">
        <v>0</v>
      </c>
      <c r="Q32" s="29">
        <v>616123.29375000007</v>
      </c>
      <c r="R32" s="29">
        <v>1268667.1068750001</v>
      </c>
      <c r="S32" s="29">
        <v>383063.24812499998</v>
      </c>
      <c r="T32" s="29">
        <v>0</v>
      </c>
      <c r="U32" s="167">
        <f t="shared" si="2"/>
        <v>10737119.63188</v>
      </c>
      <c r="V32" s="29">
        <v>7287121.8218750004</v>
      </c>
      <c r="W32" s="29">
        <v>1686111.6387500002</v>
      </c>
      <c r="X32" s="29">
        <v>0</v>
      </c>
      <c r="Y32" s="29">
        <v>479207.00625000009</v>
      </c>
      <c r="Z32" s="29">
        <v>986741.08312500012</v>
      </c>
      <c r="AA32" s="29">
        <v>297938.08187500003</v>
      </c>
      <c r="AB32" s="29">
        <v>0</v>
      </c>
      <c r="AC32" s="167">
        <f t="shared" si="3"/>
        <v>0</v>
      </c>
      <c r="AD32" s="29">
        <v>0</v>
      </c>
      <c r="AE32" s="29">
        <v>0</v>
      </c>
      <c r="AF32" s="29">
        <v>0</v>
      </c>
      <c r="AG32" s="29">
        <v>0</v>
      </c>
      <c r="AH32" s="167">
        <f t="shared" si="4"/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10193602.43</v>
      </c>
      <c r="AO32" s="29">
        <v>0</v>
      </c>
      <c r="AP32" s="29">
        <v>0</v>
      </c>
      <c r="AQ32" s="29">
        <v>0</v>
      </c>
      <c r="AR32" s="167">
        <f t="shared" si="5"/>
        <v>38774425.42001</v>
      </c>
      <c r="AS32" s="167">
        <f t="shared" si="6"/>
        <v>55039191.479999997</v>
      </c>
      <c r="AT32" s="29">
        <v>21188214.670000002</v>
      </c>
      <c r="AU32" s="29">
        <v>28937096.810000002</v>
      </c>
      <c r="AV32" s="29">
        <v>314436.35000000003</v>
      </c>
      <c r="AW32" s="29">
        <v>3136291.4899999998</v>
      </c>
      <c r="AX32" s="29">
        <v>1282964.96</v>
      </c>
      <c r="AY32" s="29">
        <v>180187.2</v>
      </c>
      <c r="AZ32" s="167">
        <f t="shared" si="7"/>
        <v>170763650.47</v>
      </c>
      <c r="BA32" s="29">
        <v>75657898.590000004</v>
      </c>
      <c r="BB32" s="29">
        <v>59565999.899999999</v>
      </c>
      <c r="BC32" s="29">
        <v>0</v>
      </c>
      <c r="BD32" s="29">
        <v>8835555.7300000004</v>
      </c>
      <c r="BE32" s="29">
        <v>12747580.17</v>
      </c>
      <c r="BF32" s="29">
        <v>13086335.720000001</v>
      </c>
      <c r="BG32" s="29">
        <v>0</v>
      </c>
      <c r="BH32" s="29">
        <v>870280.36</v>
      </c>
      <c r="BI32" s="29">
        <v>0</v>
      </c>
      <c r="BJ32" s="167">
        <f t="shared" si="8"/>
        <v>225802841.94999999</v>
      </c>
      <c r="BK32" s="167">
        <f t="shared" si="9"/>
        <v>-187028416.52998999</v>
      </c>
      <c r="BL32" s="167">
        <f>$BO$9+SUMPRODUCT($D$10:D32,$BK$10:BK32)</f>
        <v>891337067.81198668</v>
      </c>
      <c r="BM32" s="30">
        <f t="shared" si="10"/>
        <v>4.9000000000000004</v>
      </c>
      <c r="BN32" s="167">
        <f t="shared" si="13"/>
        <v>133849095.84417</v>
      </c>
      <c r="BO32" s="168">
        <f t="shared" si="11"/>
        <v>2678434880.21562</v>
      </c>
      <c r="BP32" s="40">
        <f t="shared" si="14"/>
        <v>76350358.585469916</v>
      </c>
      <c r="BQ32" s="40">
        <f t="shared" si="15"/>
        <v>1717883068.1730731</v>
      </c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5">
      <c r="A33" s="169">
        <f t="shared" si="17"/>
        <v>24</v>
      </c>
      <c r="B33" s="170">
        <f t="shared" si="17"/>
        <v>2047</v>
      </c>
      <c r="C33" s="29">
        <v>4.9000000000000004</v>
      </c>
      <c r="D33" s="167">
        <f t="shared" si="16"/>
        <v>0.31724000000000002</v>
      </c>
      <c r="E33" s="29">
        <v>172094410.07999998</v>
      </c>
      <c r="F33" s="167">
        <f t="shared" si="0"/>
        <v>640157.56000000006</v>
      </c>
      <c r="G33" s="29">
        <v>311117.73</v>
      </c>
      <c r="H33" s="29">
        <v>329039.83</v>
      </c>
      <c r="I33" s="29">
        <v>0</v>
      </c>
      <c r="J33" s="29">
        <v>0</v>
      </c>
      <c r="K33" s="29">
        <v>919.06</v>
      </c>
      <c r="L33" s="29">
        <v>3077581.8699999996</v>
      </c>
      <c r="M33" s="167">
        <f t="shared" si="1"/>
        <v>11562856.70063</v>
      </c>
      <c r="N33" s="29">
        <v>7899356.4356249999</v>
      </c>
      <c r="O33" s="29">
        <v>1673076.3356249998</v>
      </c>
      <c r="P33" s="29">
        <v>0</v>
      </c>
      <c r="Q33" s="29">
        <v>542941.11562499998</v>
      </c>
      <c r="R33" s="29">
        <v>1116747.70875</v>
      </c>
      <c r="S33" s="29">
        <v>330735.10499999998</v>
      </c>
      <c r="T33" s="29">
        <v>0</v>
      </c>
      <c r="U33" s="167">
        <f t="shared" si="2"/>
        <v>8993332.9893800002</v>
      </c>
      <c r="V33" s="29">
        <v>6143943.8943750011</v>
      </c>
      <c r="W33" s="29">
        <v>1301281.5943750001</v>
      </c>
      <c r="X33" s="29">
        <v>0</v>
      </c>
      <c r="Y33" s="29">
        <v>422287.53437500005</v>
      </c>
      <c r="Z33" s="29">
        <v>868581.55125000014</v>
      </c>
      <c r="AA33" s="29">
        <v>257238.41500000004</v>
      </c>
      <c r="AB33" s="29">
        <v>0</v>
      </c>
      <c r="AC33" s="167">
        <f t="shared" si="3"/>
        <v>0</v>
      </c>
      <c r="AD33" s="29">
        <v>0</v>
      </c>
      <c r="AE33" s="29">
        <v>0</v>
      </c>
      <c r="AF33" s="29">
        <v>0</v>
      </c>
      <c r="AG33" s="29">
        <v>0</v>
      </c>
      <c r="AH33" s="167">
        <f t="shared" si="4"/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10748596.1</v>
      </c>
      <c r="AO33" s="29">
        <v>0</v>
      </c>
      <c r="AP33" s="29">
        <v>0</v>
      </c>
      <c r="AQ33" s="29">
        <v>0</v>
      </c>
      <c r="AR33" s="167">
        <f t="shared" si="5"/>
        <v>35023444.28001</v>
      </c>
      <c r="AS33" s="167">
        <f t="shared" si="6"/>
        <v>51411328.479999997</v>
      </c>
      <c r="AT33" s="29">
        <v>19429164.520000003</v>
      </c>
      <c r="AU33" s="29">
        <v>27268058.280000001</v>
      </c>
      <c r="AV33" s="29">
        <v>329838.49</v>
      </c>
      <c r="AW33" s="29">
        <v>3007495.0599999996</v>
      </c>
      <c r="AX33" s="29">
        <v>1258480.3800000001</v>
      </c>
      <c r="AY33" s="29">
        <v>118291.75</v>
      </c>
      <c r="AZ33" s="167">
        <f t="shared" si="7"/>
        <v>180040020.75999999</v>
      </c>
      <c r="BA33" s="29">
        <v>79354814.650000006</v>
      </c>
      <c r="BB33" s="29">
        <v>63322077.309999995</v>
      </c>
      <c r="BC33" s="29">
        <v>0</v>
      </c>
      <c r="BD33" s="29">
        <v>9230163.8200000003</v>
      </c>
      <c r="BE33" s="29">
        <v>13568806.470000001</v>
      </c>
      <c r="BF33" s="29">
        <v>13667414.75</v>
      </c>
      <c r="BG33" s="29">
        <v>0</v>
      </c>
      <c r="BH33" s="29">
        <v>896743.76</v>
      </c>
      <c r="BI33" s="29">
        <v>0</v>
      </c>
      <c r="BJ33" s="167">
        <f t="shared" si="8"/>
        <v>231451349.24000001</v>
      </c>
      <c r="BK33" s="167">
        <f t="shared" si="9"/>
        <v>-196427904.95998999</v>
      </c>
      <c r="BL33" s="167">
        <f>$BO$9+SUMPRODUCT($D$10:D33,$BK$10:BK33)</f>
        <v>829022279.24247944</v>
      </c>
      <c r="BM33" s="30">
        <f t="shared" si="10"/>
        <v>4.9000000000000004</v>
      </c>
      <c r="BN33" s="167">
        <f t="shared" si="13"/>
        <v>131243309.13056999</v>
      </c>
      <c r="BO33" s="168">
        <f t="shared" si="11"/>
        <v>2613250284.3862</v>
      </c>
      <c r="BP33" s="40">
        <f t="shared" si="14"/>
        <v>74665295.351680174</v>
      </c>
      <c r="BQ33" s="40">
        <f t="shared" si="15"/>
        <v>1754634440.7644842</v>
      </c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169">
        <f t="shared" si="17"/>
        <v>25</v>
      </c>
      <c r="B34" s="170">
        <f t="shared" si="17"/>
        <v>2048</v>
      </c>
      <c r="C34" s="29">
        <v>4.9000000000000004</v>
      </c>
      <c r="D34" s="167">
        <f t="shared" si="16"/>
        <v>0.30242000000000002</v>
      </c>
      <c r="E34" s="29">
        <v>178488594.81999999</v>
      </c>
      <c r="F34" s="167">
        <f t="shared" si="0"/>
        <v>532979.38</v>
      </c>
      <c r="G34" s="29">
        <v>277752.87</v>
      </c>
      <c r="H34" s="29">
        <v>255226.51</v>
      </c>
      <c r="I34" s="29">
        <v>0</v>
      </c>
      <c r="J34" s="29">
        <v>0</v>
      </c>
      <c r="K34" s="29">
        <v>964.1</v>
      </c>
      <c r="L34" s="29">
        <v>2837904.4099999997</v>
      </c>
      <c r="M34" s="167">
        <f t="shared" si="1"/>
        <v>9473421.6337499991</v>
      </c>
      <c r="N34" s="29">
        <v>6685593.2831250001</v>
      </c>
      <c r="O34" s="29">
        <v>1055790.3149999999</v>
      </c>
      <c r="P34" s="29">
        <v>0</v>
      </c>
      <c r="Q34" s="29">
        <v>471509.25187500002</v>
      </c>
      <c r="R34" s="29">
        <v>985496.70937499998</v>
      </c>
      <c r="S34" s="29">
        <v>275032.07437500003</v>
      </c>
      <c r="T34" s="29">
        <v>0</v>
      </c>
      <c r="U34" s="167">
        <f t="shared" si="2"/>
        <v>7368216.8262499999</v>
      </c>
      <c r="V34" s="29">
        <v>5199905.8868750008</v>
      </c>
      <c r="W34" s="29">
        <v>821170.24500000011</v>
      </c>
      <c r="X34" s="29">
        <v>0</v>
      </c>
      <c r="Y34" s="29">
        <v>366729.41812500008</v>
      </c>
      <c r="Z34" s="29">
        <v>766497.44062500005</v>
      </c>
      <c r="AA34" s="29">
        <v>213913.83562500004</v>
      </c>
      <c r="AB34" s="29">
        <v>0</v>
      </c>
      <c r="AC34" s="167">
        <f t="shared" si="3"/>
        <v>0</v>
      </c>
      <c r="AD34" s="29">
        <v>0</v>
      </c>
      <c r="AE34" s="29">
        <v>0</v>
      </c>
      <c r="AF34" s="29">
        <v>0</v>
      </c>
      <c r="AG34" s="29">
        <v>0</v>
      </c>
      <c r="AH34" s="167">
        <f t="shared" si="4"/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11372006.449999999</v>
      </c>
      <c r="AO34" s="29">
        <v>0</v>
      </c>
      <c r="AP34" s="29">
        <v>0</v>
      </c>
      <c r="AQ34" s="29">
        <v>0</v>
      </c>
      <c r="AR34" s="167">
        <f t="shared" si="5"/>
        <v>31585492.800000001</v>
      </c>
      <c r="AS34" s="167">
        <f t="shared" si="6"/>
        <v>47329251.640000001</v>
      </c>
      <c r="AT34" s="29">
        <v>18025759.020000003</v>
      </c>
      <c r="AU34" s="29">
        <v>24883104.550000001</v>
      </c>
      <c r="AV34" s="29">
        <v>346002.57</v>
      </c>
      <c r="AW34" s="29">
        <v>2758784.3099999996</v>
      </c>
      <c r="AX34" s="29">
        <v>1284756.26</v>
      </c>
      <c r="AY34" s="29">
        <v>30844.929999999997</v>
      </c>
      <c r="AZ34" s="167">
        <f t="shared" si="7"/>
        <v>190430728.12</v>
      </c>
      <c r="BA34" s="29">
        <v>83635556.410000011</v>
      </c>
      <c r="BB34" s="29">
        <v>67128826.74000001</v>
      </c>
      <c r="BC34" s="29">
        <v>0</v>
      </c>
      <c r="BD34" s="29">
        <v>9787163.4000000004</v>
      </c>
      <c r="BE34" s="29">
        <v>14613049.52</v>
      </c>
      <c r="BF34" s="29">
        <v>14368842.619999999</v>
      </c>
      <c r="BG34" s="29">
        <v>0</v>
      </c>
      <c r="BH34" s="29">
        <v>897289.43</v>
      </c>
      <c r="BI34" s="29">
        <v>0</v>
      </c>
      <c r="BJ34" s="167">
        <f t="shared" si="8"/>
        <v>237759979.75999999</v>
      </c>
      <c r="BK34" s="167">
        <f t="shared" si="9"/>
        <v>-206174486.96000001</v>
      </c>
      <c r="BL34" s="167">
        <f>$BO$9+SUMPRODUCT($D$10:D34,$BK$10:BK34)</f>
        <v>766670990.89603627</v>
      </c>
      <c r="BM34" s="30">
        <f t="shared" si="10"/>
        <v>4.9000000000000004</v>
      </c>
      <c r="BN34" s="167">
        <f t="shared" si="13"/>
        <v>128049263.93492</v>
      </c>
      <c r="BO34" s="168">
        <f t="shared" si="11"/>
        <v>2535125061.3611202</v>
      </c>
      <c r="BP34" s="40">
        <f t="shared" si="14"/>
        <v>73191757.680535197</v>
      </c>
      <c r="BQ34" s="40">
        <f t="shared" si="15"/>
        <v>1793198063.1731124</v>
      </c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 s="169">
        <f t="shared" si="17"/>
        <v>26</v>
      </c>
      <c r="B35" s="170">
        <f t="shared" si="17"/>
        <v>2049</v>
      </c>
      <c r="C35" s="29">
        <v>4.9000000000000004</v>
      </c>
      <c r="D35" s="167">
        <f t="shared" si="16"/>
        <v>0.28828999999999999</v>
      </c>
      <c r="E35" s="29">
        <v>184711240.92999998</v>
      </c>
      <c r="F35" s="167">
        <f t="shared" si="0"/>
        <v>371887.67</v>
      </c>
      <c r="G35" s="29">
        <v>228155.93000000002</v>
      </c>
      <c r="H35" s="29">
        <v>143731.74000000002</v>
      </c>
      <c r="I35" s="29">
        <v>0</v>
      </c>
      <c r="J35" s="29">
        <v>0</v>
      </c>
      <c r="K35" s="29">
        <v>1011.34</v>
      </c>
      <c r="L35" s="29">
        <v>2404654.98</v>
      </c>
      <c r="M35" s="167">
        <f t="shared" si="1"/>
        <v>7605522.1181300003</v>
      </c>
      <c r="N35" s="29">
        <v>5646057.8399999999</v>
      </c>
      <c r="O35" s="29">
        <v>468241.09875</v>
      </c>
      <c r="P35" s="29">
        <v>0</v>
      </c>
      <c r="Q35" s="29">
        <v>406434.301875</v>
      </c>
      <c r="R35" s="29">
        <v>859584.53812499996</v>
      </c>
      <c r="S35" s="29">
        <v>225204.33937500001</v>
      </c>
      <c r="T35" s="29">
        <v>0</v>
      </c>
      <c r="U35" s="167">
        <f t="shared" si="2"/>
        <v>5915406.0918800002</v>
      </c>
      <c r="V35" s="29">
        <v>4391378.32</v>
      </c>
      <c r="W35" s="29">
        <v>364187.52125000005</v>
      </c>
      <c r="X35" s="29">
        <v>0</v>
      </c>
      <c r="Y35" s="29">
        <v>316115.56812500005</v>
      </c>
      <c r="Z35" s="29">
        <v>668565.75187500007</v>
      </c>
      <c r="AA35" s="29">
        <v>175158.93062500004</v>
      </c>
      <c r="AB35" s="29">
        <v>0</v>
      </c>
      <c r="AC35" s="167">
        <f t="shared" si="3"/>
        <v>0</v>
      </c>
      <c r="AD35" s="29">
        <v>0</v>
      </c>
      <c r="AE35" s="29">
        <v>0</v>
      </c>
      <c r="AF35" s="29">
        <v>0</v>
      </c>
      <c r="AG35" s="29">
        <v>0</v>
      </c>
      <c r="AH35" s="167">
        <f t="shared" si="4"/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11781968.119999999</v>
      </c>
      <c r="AO35" s="29">
        <v>0</v>
      </c>
      <c r="AP35" s="29">
        <v>0</v>
      </c>
      <c r="AQ35" s="29">
        <v>0</v>
      </c>
      <c r="AR35" s="167">
        <f t="shared" si="5"/>
        <v>28080450.320009999</v>
      </c>
      <c r="AS35" s="167">
        <f t="shared" si="6"/>
        <v>40094956.109999999</v>
      </c>
      <c r="AT35" s="29">
        <v>14295544.42</v>
      </c>
      <c r="AU35" s="29">
        <v>21732448.460000001</v>
      </c>
      <c r="AV35" s="29">
        <v>362960.60000000003</v>
      </c>
      <c r="AW35" s="29">
        <v>2449298.65</v>
      </c>
      <c r="AX35" s="29">
        <v>1237343.78</v>
      </c>
      <c r="AY35" s="29">
        <v>17360.199999999997</v>
      </c>
      <c r="AZ35" s="167">
        <f t="shared" si="7"/>
        <v>197301731.11000001</v>
      </c>
      <c r="BA35" s="29">
        <v>87174723.260000005</v>
      </c>
      <c r="BB35" s="29">
        <v>68710949.980000004</v>
      </c>
      <c r="BC35" s="29">
        <v>0</v>
      </c>
      <c r="BD35" s="29">
        <v>10146087.15</v>
      </c>
      <c r="BE35" s="29">
        <v>15537348.369999999</v>
      </c>
      <c r="BF35" s="29">
        <v>14797020.470000001</v>
      </c>
      <c r="BG35" s="29">
        <v>0</v>
      </c>
      <c r="BH35" s="29">
        <v>935601.88</v>
      </c>
      <c r="BI35" s="29">
        <v>0</v>
      </c>
      <c r="BJ35" s="167">
        <f t="shared" si="8"/>
        <v>237396687.22</v>
      </c>
      <c r="BK35" s="167">
        <f t="shared" si="9"/>
        <v>-209316236.89998999</v>
      </c>
      <c r="BL35" s="167">
        <f>$BO$9+SUMPRODUCT($D$10:D35,$BK$10:BK35)</f>
        <v>706327212.96013808</v>
      </c>
      <c r="BM35" s="30">
        <f t="shared" si="10"/>
        <v>4.9000000000000004</v>
      </c>
      <c r="BN35" s="167">
        <f t="shared" si="13"/>
        <v>124221128.00669999</v>
      </c>
      <c r="BO35" s="168">
        <f t="shared" si="11"/>
        <v>2450029952.4678302</v>
      </c>
      <c r="BP35" s="40">
        <f t="shared" si="14"/>
        <v>69705850.650138319</v>
      </c>
      <c r="BQ35" s="40">
        <f t="shared" si="15"/>
        <v>1777499191.5785272</v>
      </c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5">
      <c r="A36" s="169">
        <f t="shared" si="17"/>
        <v>27</v>
      </c>
      <c r="B36" s="170">
        <f t="shared" si="17"/>
        <v>2050</v>
      </c>
      <c r="C36" s="29">
        <v>4.9000000000000004</v>
      </c>
      <c r="D36" s="167">
        <f t="shared" si="16"/>
        <v>0.27482000000000001</v>
      </c>
      <c r="E36" s="29">
        <v>188341443.32999998</v>
      </c>
      <c r="F36" s="167">
        <f t="shared" si="0"/>
        <v>94016.35</v>
      </c>
      <c r="G36" s="29">
        <v>93485.959999999992</v>
      </c>
      <c r="H36" s="29">
        <v>530.39</v>
      </c>
      <c r="I36" s="29">
        <v>0</v>
      </c>
      <c r="J36" s="29">
        <v>0</v>
      </c>
      <c r="K36" s="29">
        <v>736.76</v>
      </c>
      <c r="L36" s="29">
        <v>1551503.29</v>
      </c>
      <c r="M36" s="167">
        <f t="shared" si="1"/>
        <v>6493543.32938</v>
      </c>
      <c r="N36" s="29">
        <v>4897911.4481249992</v>
      </c>
      <c r="O36" s="29">
        <v>243565.700625</v>
      </c>
      <c r="P36" s="29">
        <v>0</v>
      </c>
      <c r="Q36" s="29">
        <v>366888.31875000003</v>
      </c>
      <c r="R36" s="29">
        <v>789285.13875000004</v>
      </c>
      <c r="S36" s="29">
        <v>195892.72312499999</v>
      </c>
      <c r="T36" s="29">
        <v>0</v>
      </c>
      <c r="U36" s="167">
        <f t="shared" si="2"/>
        <v>5050533.7006299999</v>
      </c>
      <c r="V36" s="29">
        <v>3809486.6818750002</v>
      </c>
      <c r="W36" s="29">
        <v>189439.98937500003</v>
      </c>
      <c r="X36" s="29">
        <v>0</v>
      </c>
      <c r="Y36" s="29">
        <v>285357.58125000005</v>
      </c>
      <c r="Z36" s="29">
        <v>613888.44125000015</v>
      </c>
      <c r="AA36" s="29">
        <v>152361.00687500002</v>
      </c>
      <c r="AB36" s="29">
        <v>0</v>
      </c>
      <c r="AC36" s="167">
        <f t="shared" si="3"/>
        <v>0</v>
      </c>
      <c r="AD36" s="29">
        <v>0</v>
      </c>
      <c r="AE36" s="29">
        <v>0</v>
      </c>
      <c r="AF36" s="29">
        <v>0</v>
      </c>
      <c r="AG36" s="29">
        <v>0</v>
      </c>
      <c r="AH36" s="167">
        <f t="shared" si="4"/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12026102.93</v>
      </c>
      <c r="AO36" s="29">
        <v>0</v>
      </c>
      <c r="AP36" s="29">
        <v>0</v>
      </c>
      <c r="AQ36" s="29">
        <v>0</v>
      </c>
      <c r="AR36" s="167">
        <f t="shared" si="5"/>
        <v>25216436.360010002</v>
      </c>
      <c r="AS36" s="167">
        <f t="shared" si="6"/>
        <v>25858391.989999998</v>
      </c>
      <c r="AT36" s="29">
        <v>6609302.2199999997</v>
      </c>
      <c r="AU36" s="29">
        <v>16254550.449999999</v>
      </c>
      <c r="AV36" s="29">
        <v>249327.54</v>
      </c>
      <c r="AW36" s="29">
        <v>1725313.8</v>
      </c>
      <c r="AX36" s="29">
        <v>1019897.98</v>
      </c>
      <c r="AY36" s="29">
        <v>0</v>
      </c>
      <c r="AZ36" s="167">
        <f t="shared" si="7"/>
        <v>201353872.25</v>
      </c>
      <c r="BA36" s="29">
        <v>88552893.670000002</v>
      </c>
      <c r="BB36" s="29">
        <v>71120122.790000007</v>
      </c>
      <c r="BC36" s="29">
        <v>0</v>
      </c>
      <c r="BD36" s="29">
        <v>9994164.0999999996</v>
      </c>
      <c r="BE36" s="29">
        <v>15753949.6</v>
      </c>
      <c r="BF36" s="29">
        <v>15013923.959999999</v>
      </c>
      <c r="BG36" s="29">
        <v>0</v>
      </c>
      <c r="BH36" s="29">
        <v>918818.13</v>
      </c>
      <c r="BI36" s="29">
        <v>0</v>
      </c>
      <c r="BJ36" s="167">
        <f t="shared" si="8"/>
        <v>227212264.24000001</v>
      </c>
      <c r="BK36" s="167">
        <f t="shared" si="9"/>
        <v>-201995827.87999001</v>
      </c>
      <c r="BL36" s="167">
        <f>$BO$9+SUMPRODUCT($D$10:D36,$BK$10:BK36)</f>
        <v>650814719.54215932</v>
      </c>
      <c r="BM36" s="30">
        <f t="shared" si="10"/>
        <v>4.9000000000000004</v>
      </c>
      <c r="BN36" s="167">
        <f t="shared" si="13"/>
        <v>120051467.67092</v>
      </c>
      <c r="BO36" s="168">
        <f t="shared" si="11"/>
        <v>2368085592.25876</v>
      </c>
      <c r="BP36" s="40">
        <f t="shared" si="14"/>
        <v>63670911.71124959</v>
      </c>
      <c r="BQ36" s="40">
        <f t="shared" si="15"/>
        <v>1687279160.348114</v>
      </c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5">
      <c r="A37" s="169">
        <f t="shared" si="17"/>
        <v>28</v>
      </c>
      <c r="B37" s="170">
        <f t="shared" si="17"/>
        <v>2051</v>
      </c>
      <c r="C37" s="29">
        <v>4.9000000000000004</v>
      </c>
      <c r="D37" s="167">
        <f t="shared" si="16"/>
        <v>0.26197999999999999</v>
      </c>
      <c r="E37" s="29">
        <v>194333991.12</v>
      </c>
      <c r="F37" s="167">
        <f t="shared" si="0"/>
        <v>89734.65</v>
      </c>
      <c r="G37" s="29">
        <v>89461.34</v>
      </c>
      <c r="H37" s="29">
        <v>273.31</v>
      </c>
      <c r="I37" s="29">
        <v>0</v>
      </c>
      <c r="J37" s="29">
        <v>0</v>
      </c>
      <c r="K37" s="29">
        <v>0</v>
      </c>
      <c r="L37" s="29">
        <v>1311407.93</v>
      </c>
      <c r="M37" s="167">
        <f t="shared" si="1"/>
        <v>5470706.1150000002</v>
      </c>
      <c r="N37" s="29">
        <v>4178087.3024999998</v>
      </c>
      <c r="O37" s="29">
        <v>93167.651249999995</v>
      </c>
      <c r="P37" s="29">
        <v>0</v>
      </c>
      <c r="Q37" s="29">
        <v>325715.50125000003</v>
      </c>
      <c r="R37" s="29">
        <v>704389.17374999996</v>
      </c>
      <c r="S37" s="29">
        <v>169346.48624999999</v>
      </c>
      <c r="T37" s="29">
        <v>0</v>
      </c>
      <c r="U37" s="167">
        <f t="shared" si="2"/>
        <v>4254993.6449999996</v>
      </c>
      <c r="V37" s="29">
        <v>3249623.4575000005</v>
      </c>
      <c r="W37" s="29">
        <v>72463.728750000009</v>
      </c>
      <c r="X37" s="29">
        <v>0</v>
      </c>
      <c r="Y37" s="29">
        <v>253334.27875000006</v>
      </c>
      <c r="Z37" s="29">
        <v>547858.24625000008</v>
      </c>
      <c r="AA37" s="29">
        <v>131713.93375</v>
      </c>
      <c r="AB37" s="29">
        <v>0</v>
      </c>
      <c r="AC37" s="167">
        <f t="shared" si="3"/>
        <v>0</v>
      </c>
      <c r="AD37" s="29">
        <v>0</v>
      </c>
      <c r="AE37" s="29">
        <v>0</v>
      </c>
      <c r="AF37" s="29">
        <v>0</v>
      </c>
      <c r="AG37" s="29">
        <v>0</v>
      </c>
      <c r="AH37" s="167">
        <f t="shared" si="4"/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12549327.549999999</v>
      </c>
      <c r="AO37" s="29">
        <v>0</v>
      </c>
      <c r="AP37" s="29">
        <v>0</v>
      </c>
      <c r="AQ37" s="29">
        <v>0</v>
      </c>
      <c r="AR37" s="167">
        <f t="shared" si="5"/>
        <v>23676169.890000001</v>
      </c>
      <c r="AS37" s="167">
        <f t="shared" si="6"/>
        <v>21856798.079999998</v>
      </c>
      <c r="AT37" s="29">
        <v>4960416.42</v>
      </c>
      <c r="AU37" s="29">
        <v>14200400.539999999</v>
      </c>
      <c r="AV37" s="29">
        <v>157777.68000000002</v>
      </c>
      <c r="AW37" s="29">
        <v>1667827</v>
      </c>
      <c r="AX37" s="29">
        <v>870376.44000000006</v>
      </c>
      <c r="AY37" s="29">
        <v>0</v>
      </c>
      <c r="AZ37" s="167">
        <f t="shared" si="7"/>
        <v>210037394.41999999</v>
      </c>
      <c r="BA37" s="29">
        <v>92744275.320000008</v>
      </c>
      <c r="BB37" s="29">
        <v>73600078.760000005</v>
      </c>
      <c r="BC37" s="29">
        <v>0</v>
      </c>
      <c r="BD37" s="29">
        <v>10417990</v>
      </c>
      <c r="BE37" s="29">
        <v>16805426.520000003</v>
      </c>
      <c r="BF37" s="29">
        <v>15587682.789999999</v>
      </c>
      <c r="BG37" s="29">
        <v>0</v>
      </c>
      <c r="BH37" s="29">
        <v>881941.03</v>
      </c>
      <c r="BI37" s="29">
        <v>0</v>
      </c>
      <c r="BJ37" s="167">
        <f t="shared" si="8"/>
        <v>231894192.5</v>
      </c>
      <c r="BK37" s="167">
        <f t="shared" si="9"/>
        <v>-208218022.61000001</v>
      </c>
      <c r="BL37" s="167">
        <f>$BO$9+SUMPRODUCT($D$10:D37,$BK$10:BK37)</f>
        <v>596265761.97879148</v>
      </c>
      <c r="BM37" s="30">
        <f t="shared" si="10"/>
        <v>4.9000000000000004</v>
      </c>
      <c r="BN37" s="167">
        <f t="shared" si="13"/>
        <v>116036194.02068</v>
      </c>
      <c r="BO37" s="168">
        <f t="shared" si="11"/>
        <v>2275903763.6694398</v>
      </c>
      <c r="BP37" s="40">
        <f t="shared" si="14"/>
        <v>61964130.068711594</v>
      </c>
      <c r="BQ37" s="40">
        <f t="shared" si="15"/>
        <v>1704013576.8895688</v>
      </c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5">
      <c r="A38" s="169">
        <f t="shared" si="17"/>
        <v>29</v>
      </c>
      <c r="B38" s="170">
        <f t="shared" si="17"/>
        <v>2052</v>
      </c>
      <c r="C38" s="29">
        <v>4.9000000000000004</v>
      </c>
      <c r="D38" s="167">
        <f t="shared" si="16"/>
        <v>0.24973999999999999</v>
      </c>
      <c r="E38" s="29">
        <v>200178267.97</v>
      </c>
      <c r="F38" s="167">
        <f t="shared" si="0"/>
        <v>141.72</v>
      </c>
      <c r="G38" s="29">
        <v>0</v>
      </c>
      <c r="H38" s="29">
        <v>141.72</v>
      </c>
      <c r="I38" s="29">
        <v>0</v>
      </c>
      <c r="J38" s="29">
        <v>0</v>
      </c>
      <c r="K38" s="29">
        <v>0</v>
      </c>
      <c r="L38" s="29">
        <v>932279.19</v>
      </c>
      <c r="M38" s="167">
        <f t="shared" si="1"/>
        <v>4498745.2481300002</v>
      </c>
      <c r="N38" s="29">
        <v>3403036.3556249999</v>
      </c>
      <c r="O38" s="29">
        <v>56159.420624999999</v>
      </c>
      <c r="P38" s="29">
        <v>0</v>
      </c>
      <c r="Q38" s="29">
        <v>283344.541875</v>
      </c>
      <c r="R38" s="29">
        <v>612656.22937500011</v>
      </c>
      <c r="S38" s="29">
        <v>143548.700625</v>
      </c>
      <c r="T38" s="29">
        <v>0</v>
      </c>
      <c r="U38" s="167">
        <f t="shared" si="2"/>
        <v>3499024.08188</v>
      </c>
      <c r="V38" s="29">
        <v>2646806.0543750003</v>
      </c>
      <c r="W38" s="29">
        <v>43679.54937500001</v>
      </c>
      <c r="X38" s="29">
        <v>0</v>
      </c>
      <c r="Y38" s="29">
        <v>220379.08812500004</v>
      </c>
      <c r="Z38" s="29">
        <v>476510.40062500013</v>
      </c>
      <c r="AA38" s="29">
        <v>111648.98937500002</v>
      </c>
      <c r="AB38" s="29">
        <v>0</v>
      </c>
      <c r="AC38" s="167">
        <f t="shared" si="3"/>
        <v>0</v>
      </c>
      <c r="AD38" s="29">
        <v>0</v>
      </c>
      <c r="AE38" s="29">
        <v>0</v>
      </c>
      <c r="AF38" s="29">
        <v>0</v>
      </c>
      <c r="AG38" s="29">
        <v>0</v>
      </c>
      <c r="AH38" s="167">
        <f t="shared" si="4"/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13046223.720000001</v>
      </c>
      <c r="AO38" s="29">
        <v>0</v>
      </c>
      <c r="AP38" s="29">
        <v>0</v>
      </c>
      <c r="AQ38" s="29">
        <v>0</v>
      </c>
      <c r="AR38" s="167">
        <f t="shared" si="5"/>
        <v>21976413.96001</v>
      </c>
      <c r="AS38" s="167">
        <f t="shared" si="6"/>
        <v>15537983.710000001</v>
      </c>
      <c r="AT38" s="29">
        <v>970913.75</v>
      </c>
      <c r="AU38" s="29">
        <v>12131499.310000001</v>
      </c>
      <c r="AV38" s="29">
        <v>0</v>
      </c>
      <c r="AW38" s="29">
        <v>1522535.53</v>
      </c>
      <c r="AX38" s="29">
        <v>913035.12</v>
      </c>
      <c r="AY38" s="29">
        <v>0</v>
      </c>
      <c r="AZ38" s="167">
        <f t="shared" si="7"/>
        <v>218251270.74000001</v>
      </c>
      <c r="BA38" s="29">
        <v>96770895.400000006</v>
      </c>
      <c r="BB38" s="29">
        <v>75495837.290000007</v>
      </c>
      <c r="BC38" s="29">
        <v>0</v>
      </c>
      <c r="BD38" s="29">
        <v>11033336.779999999</v>
      </c>
      <c r="BE38" s="29">
        <v>18062250.34</v>
      </c>
      <c r="BF38" s="29">
        <v>16074739.75</v>
      </c>
      <c r="BG38" s="29">
        <v>0</v>
      </c>
      <c r="BH38" s="29">
        <v>814211.18</v>
      </c>
      <c r="BI38" s="29">
        <v>0</v>
      </c>
      <c r="BJ38" s="167">
        <f t="shared" si="8"/>
        <v>233789254.44999999</v>
      </c>
      <c r="BK38" s="167">
        <f t="shared" si="9"/>
        <v>-211812840.48999</v>
      </c>
      <c r="BL38" s="167">
        <f>$BO$9+SUMPRODUCT($D$10:D38,$BK$10:BK38)</f>
        <v>543367623.19482136</v>
      </c>
      <c r="BM38" s="30">
        <f t="shared" si="10"/>
        <v>4.9000000000000004</v>
      </c>
      <c r="BN38" s="167">
        <f t="shared" si="13"/>
        <v>111519284.4198</v>
      </c>
      <c r="BO38" s="168">
        <f t="shared" si="11"/>
        <v>2175610207.5992498</v>
      </c>
      <c r="BP38" s="40">
        <f t="shared" si="14"/>
        <v>59594711.731092557</v>
      </c>
      <c r="BQ38" s="40">
        <f t="shared" si="15"/>
        <v>1698449284.3361378</v>
      </c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5">
      <c r="A39" s="169">
        <f t="shared" si="17"/>
        <v>30</v>
      </c>
      <c r="B39" s="170">
        <f t="shared" si="17"/>
        <v>2053</v>
      </c>
      <c r="C39" s="29">
        <v>4.9000000000000004</v>
      </c>
      <c r="D39" s="167">
        <f t="shared" si="16"/>
        <v>0.23807</v>
      </c>
      <c r="E39" s="29">
        <v>205313132.82999998</v>
      </c>
      <c r="F39" s="167">
        <f t="shared" si="0"/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685475.52</v>
      </c>
      <c r="M39" s="167">
        <f t="shared" si="1"/>
        <v>3511858.1793800001</v>
      </c>
      <c r="N39" s="29">
        <v>2633682.5774999997</v>
      </c>
      <c r="O39" s="29">
        <v>27483.620625000003</v>
      </c>
      <c r="P39" s="29">
        <v>0</v>
      </c>
      <c r="Q39" s="29">
        <v>228113.56687499999</v>
      </c>
      <c r="R39" s="29">
        <v>511698.85312499997</v>
      </c>
      <c r="S39" s="29">
        <v>110879.56125</v>
      </c>
      <c r="T39" s="29">
        <v>0</v>
      </c>
      <c r="U39" s="167">
        <f t="shared" si="2"/>
        <v>2731445.2506300001</v>
      </c>
      <c r="V39" s="29">
        <v>2048419.7825</v>
      </c>
      <c r="W39" s="29">
        <v>21376.149375000005</v>
      </c>
      <c r="X39" s="29">
        <v>0</v>
      </c>
      <c r="Y39" s="29">
        <v>177421.66312500002</v>
      </c>
      <c r="Z39" s="29">
        <v>397987.99687500001</v>
      </c>
      <c r="AA39" s="29">
        <v>86239.658750000017</v>
      </c>
      <c r="AB39" s="29">
        <v>0</v>
      </c>
      <c r="AC39" s="167">
        <f t="shared" si="3"/>
        <v>0</v>
      </c>
      <c r="AD39" s="29">
        <v>0</v>
      </c>
      <c r="AE39" s="29">
        <v>0</v>
      </c>
      <c r="AF39" s="29">
        <v>0</v>
      </c>
      <c r="AG39" s="29">
        <v>0</v>
      </c>
      <c r="AH39" s="167">
        <f t="shared" si="4"/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13544896.299999999</v>
      </c>
      <c r="AO39" s="29">
        <v>0</v>
      </c>
      <c r="AP39" s="29">
        <v>0</v>
      </c>
      <c r="AQ39" s="29">
        <v>0</v>
      </c>
      <c r="AR39" s="167">
        <f t="shared" si="5"/>
        <v>20473675.250009999</v>
      </c>
      <c r="AS39" s="167">
        <f t="shared" si="6"/>
        <v>11424598.880000001</v>
      </c>
      <c r="AT39" s="29">
        <v>647421.61</v>
      </c>
      <c r="AU39" s="29">
        <v>8300875.1600000001</v>
      </c>
      <c r="AV39" s="29">
        <v>0</v>
      </c>
      <c r="AW39" s="29">
        <v>1518510.62</v>
      </c>
      <c r="AX39" s="29">
        <v>957791.49</v>
      </c>
      <c r="AY39" s="29">
        <v>0</v>
      </c>
      <c r="AZ39" s="167">
        <f t="shared" si="7"/>
        <v>226522538.18000001</v>
      </c>
      <c r="BA39" s="29">
        <v>100700219.74000001</v>
      </c>
      <c r="BB39" s="29">
        <v>77138214.63000001</v>
      </c>
      <c r="BC39" s="29">
        <v>0</v>
      </c>
      <c r="BD39" s="29">
        <v>11685327.029999999</v>
      </c>
      <c r="BE39" s="29">
        <v>19669101.170000002</v>
      </c>
      <c r="BF39" s="29">
        <v>16555405.029999999</v>
      </c>
      <c r="BG39" s="29">
        <v>0</v>
      </c>
      <c r="BH39" s="29">
        <v>774270.58</v>
      </c>
      <c r="BI39" s="29">
        <v>0</v>
      </c>
      <c r="BJ39" s="167">
        <f t="shared" si="8"/>
        <v>237947137.06</v>
      </c>
      <c r="BK39" s="167">
        <f t="shared" si="9"/>
        <v>-217473461.80998999</v>
      </c>
      <c r="BL39" s="167">
        <f>$BO$9+SUMPRODUCT($D$10:D39,$BK$10:BK39)</f>
        <v>491593716.14171708</v>
      </c>
      <c r="BM39" s="30">
        <f t="shared" si="10"/>
        <v>4.9000000000000004</v>
      </c>
      <c r="BN39" s="167">
        <f t="shared" si="13"/>
        <v>106604900.17236</v>
      </c>
      <c r="BO39" s="168">
        <f t="shared" si="11"/>
        <v>2064741645.9616201</v>
      </c>
      <c r="BP39" s="40">
        <f t="shared" si="14"/>
        <v>57834648.550588265</v>
      </c>
      <c r="BQ39" s="40">
        <f t="shared" si="15"/>
        <v>1706122132.2423539</v>
      </c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5">
      <c r="A40" s="169">
        <f t="shared" si="17"/>
        <v>31</v>
      </c>
      <c r="B40" s="170">
        <f t="shared" si="17"/>
        <v>2054</v>
      </c>
      <c r="C40" s="29">
        <v>4.9000000000000004</v>
      </c>
      <c r="D40" s="167">
        <f t="shared" si="16"/>
        <v>0.22695000000000001</v>
      </c>
      <c r="E40" s="29">
        <v>206530979.10999998</v>
      </c>
      <c r="F40" s="167">
        <f t="shared" si="0"/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379117.95</v>
      </c>
      <c r="M40" s="167">
        <f t="shared" si="1"/>
        <v>2282084.0099999998</v>
      </c>
      <c r="N40" s="29">
        <v>1677726.579375</v>
      </c>
      <c r="O40" s="29">
        <v>11923.098749999999</v>
      </c>
      <c r="P40" s="29">
        <v>0</v>
      </c>
      <c r="Q40" s="29">
        <v>153827.78625</v>
      </c>
      <c r="R40" s="29">
        <v>367383.54375000001</v>
      </c>
      <c r="S40" s="29">
        <v>71223.001875000002</v>
      </c>
      <c r="T40" s="29">
        <v>0</v>
      </c>
      <c r="U40" s="167">
        <f t="shared" si="2"/>
        <v>1774954.23</v>
      </c>
      <c r="V40" s="29">
        <v>1304898.4506250001</v>
      </c>
      <c r="W40" s="29">
        <v>9273.5212500000016</v>
      </c>
      <c r="X40" s="29">
        <v>0</v>
      </c>
      <c r="Y40" s="29">
        <v>119643.83375000002</v>
      </c>
      <c r="Z40" s="29">
        <v>285742.75625000003</v>
      </c>
      <c r="AA40" s="29">
        <v>55395.668125000004</v>
      </c>
      <c r="AB40" s="29">
        <v>0</v>
      </c>
      <c r="AC40" s="167">
        <f t="shared" si="3"/>
        <v>0</v>
      </c>
      <c r="AD40" s="29">
        <v>0</v>
      </c>
      <c r="AE40" s="29">
        <v>0</v>
      </c>
      <c r="AF40" s="29">
        <v>0</v>
      </c>
      <c r="AG40" s="29">
        <v>0</v>
      </c>
      <c r="AH40" s="167">
        <f t="shared" si="4"/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13670370.220000001</v>
      </c>
      <c r="AO40" s="29">
        <v>0</v>
      </c>
      <c r="AP40" s="29">
        <v>0</v>
      </c>
      <c r="AQ40" s="29">
        <v>0</v>
      </c>
      <c r="AR40" s="167">
        <f t="shared" si="5"/>
        <v>18106526.41</v>
      </c>
      <c r="AS40" s="167">
        <f t="shared" si="6"/>
        <v>6318630.9800000004</v>
      </c>
      <c r="AT40" s="29">
        <v>188717.80000000002</v>
      </c>
      <c r="AU40" s="29">
        <v>4011647.2699999996</v>
      </c>
      <c r="AV40" s="29">
        <v>0</v>
      </c>
      <c r="AW40" s="29">
        <v>1179509.02</v>
      </c>
      <c r="AX40" s="29">
        <v>938756.89</v>
      </c>
      <c r="AY40" s="29">
        <v>0</v>
      </c>
      <c r="AZ40" s="167">
        <f t="shared" si="7"/>
        <v>228556140.22999999</v>
      </c>
      <c r="BA40" s="29">
        <v>99882809.079999998</v>
      </c>
      <c r="BB40" s="29">
        <v>79444851.88000001</v>
      </c>
      <c r="BC40" s="29">
        <v>0</v>
      </c>
      <c r="BD40" s="29">
        <v>11800906.42</v>
      </c>
      <c r="BE40" s="29">
        <v>20189272.430000003</v>
      </c>
      <c r="BF40" s="29">
        <v>16521666.08</v>
      </c>
      <c r="BG40" s="29">
        <v>0</v>
      </c>
      <c r="BH40" s="29">
        <v>716634.34</v>
      </c>
      <c r="BI40" s="29">
        <v>0</v>
      </c>
      <c r="BJ40" s="167">
        <f t="shared" si="8"/>
        <v>234874771.21000001</v>
      </c>
      <c r="BK40" s="167">
        <f t="shared" si="9"/>
        <v>-216768244.80000001</v>
      </c>
      <c r="BL40" s="167">
        <f>$BO$9+SUMPRODUCT($D$10:D40,$BK$10:BK40)</f>
        <v>442398162.98435706</v>
      </c>
      <c r="BM40" s="30">
        <f t="shared" si="10"/>
        <v>4.9000000000000004</v>
      </c>
      <c r="BN40" s="167">
        <f t="shared" si="13"/>
        <v>101172340.65211999</v>
      </c>
      <c r="BO40" s="168">
        <f t="shared" si="11"/>
        <v>1949145741.81374</v>
      </c>
      <c r="BP40" s="40">
        <f t="shared" si="14"/>
        <v>54432322.366477035</v>
      </c>
      <c r="BQ40" s="40">
        <f t="shared" si="15"/>
        <v>1660185832.1775496</v>
      </c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 s="169">
        <f t="shared" si="17"/>
        <v>32</v>
      </c>
      <c r="B41" s="170">
        <f t="shared" si="17"/>
        <v>2055</v>
      </c>
      <c r="C41" s="29">
        <v>4.9000000000000004</v>
      </c>
      <c r="D41" s="167">
        <f t="shared" si="16"/>
        <v>0.21634999999999999</v>
      </c>
      <c r="E41" s="29">
        <v>207988130.31999999</v>
      </c>
      <c r="F41" s="167">
        <f t="shared" si="0"/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190610.08000000002</v>
      </c>
      <c r="M41" s="167">
        <f t="shared" si="1"/>
        <v>1532674.54688</v>
      </c>
      <c r="N41" s="29">
        <v>1110792.256875</v>
      </c>
      <c r="O41" s="29">
        <v>0</v>
      </c>
      <c r="P41" s="29">
        <v>0</v>
      </c>
      <c r="Q41" s="29">
        <v>106722.92250000002</v>
      </c>
      <c r="R41" s="29">
        <v>266798.4975</v>
      </c>
      <c r="S41" s="29">
        <v>48360.869999999995</v>
      </c>
      <c r="T41" s="29">
        <v>0</v>
      </c>
      <c r="U41" s="167">
        <f t="shared" si="2"/>
        <v>1192080.20313</v>
      </c>
      <c r="V41" s="29">
        <v>863949.53312500007</v>
      </c>
      <c r="W41" s="29">
        <v>0</v>
      </c>
      <c r="X41" s="29">
        <v>0</v>
      </c>
      <c r="Y41" s="29">
        <v>83006.717500000013</v>
      </c>
      <c r="Z41" s="29">
        <v>207509.94250000003</v>
      </c>
      <c r="AA41" s="29">
        <v>37614.01</v>
      </c>
      <c r="AB41" s="29">
        <v>0</v>
      </c>
      <c r="AC41" s="167">
        <f t="shared" si="3"/>
        <v>0</v>
      </c>
      <c r="AD41" s="29">
        <v>0</v>
      </c>
      <c r="AE41" s="29">
        <v>0</v>
      </c>
      <c r="AF41" s="29">
        <v>0</v>
      </c>
      <c r="AG41" s="29">
        <v>0</v>
      </c>
      <c r="AH41" s="167">
        <f t="shared" si="4"/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13418569.16</v>
      </c>
      <c r="AO41" s="29">
        <v>0</v>
      </c>
      <c r="AP41" s="29">
        <v>0</v>
      </c>
      <c r="AQ41" s="29">
        <v>0</v>
      </c>
      <c r="AR41" s="167">
        <f t="shared" si="5"/>
        <v>16333933.990010001</v>
      </c>
      <c r="AS41" s="167">
        <f t="shared" si="6"/>
        <v>3176836.58</v>
      </c>
      <c r="AT41" s="29">
        <v>197964.33000000002</v>
      </c>
      <c r="AU41" s="29">
        <v>1056058.98</v>
      </c>
      <c r="AV41" s="29">
        <v>0</v>
      </c>
      <c r="AW41" s="29">
        <v>1086696.32</v>
      </c>
      <c r="AX41" s="29">
        <v>836116.95</v>
      </c>
      <c r="AY41" s="29">
        <v>0</v>
      </c>
      <c r="AZ41" s="167">
        <f t="shared" si="7"/>
        <v>224324263.66</v>
      </c>
      <c r="BA41" s="29">
        <v>97845363.140000001</v>
      </c>
      <c r="BB41" s="29">
        <v>77313642.260000005</v>
      </c>
      <c r="BC41" s="29">
        <v>0</v>
      </c>
      <c r="BD41" s="29">
        <v>11682010.67</v>
      </c>
      <c r="BE41" s="29">
        <v>20685149.400000002</v>
      </c>
      <c r="BF41" s="29">
        <v>16116652.76</v>
      </c>
      <c r="BG41" s="29">
        <v>0</v>
      </c>
      <c r="BH41" s="29">
        <v>681445.43</v>
      </c>
      <c r="BI41" s="29">
        <v>0</v>
      </c>
      <c r="BJ41" s="167">
        <f t="shared" si="8"/>
        <v>227501100.24000001</v>
      </c>
      <c r="BK41" s="167">
        <f t="shared" si="9"/>
        <v>-211167166.24998999</v>
      </c>
      <c r="BL41" s="167">
        <f>$BO$9+SUMPRODUCT($D$10:D41,$BK$10:BK41)</f>
        <v>396712146.56617177</v>
      </c>
      <c r="BM41" s="30">
        <f t="shared" si="10"/>
        <v>4.9000000000000004</v>
      </c>
      <c r="BN41" s="167">
        <f t="shared" si="13"/>
        <v>95508141.348869994</v>
      </c>
      <c r="BO41" s="168">
        <f t="shared" si="11"/>
        <v>1833486716.9126201</v>
      </c>
      <c r="BP41" s="40">
        <f t="shared" si="14"/>
        <v>50263509.318782121</v>
      </c>
      <c r="BQ41" s="40">
        <f t="shared" si="15"/>
        <v>1583300543.5416367</v>
      </c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5">
      <c r="A42" s="169">
        <f t="shared" si="17"/>
        <v>33</v>
      </c>
      <c r="B42" s="170">
        <f t="shared" si="17"/>
        <v>2056</v>
      </c>
      <c r="C42" s="29">
        <v>4.9000000000000004</v>
      </c>
      <c r="D42" s="167">
        <f t="shared" si="16"/>
        <v>0.20624000000000001</v>
      </c>
      <c r="E42" s="29">
        <v>210570147.98999998</v>
      </c>
      <c r="F42" s="167">
        <f t="shared" ref="F42:F105" si="18">ROUND(SUM(G42:J42),5)</f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77407.77</v>
      </c>
      <c r="M42" s="167">
        <f t="shared" si="1"/>
        <v>1101632.0006299999</v>
      </c>
      <c r="N42" s="29">
        <v>777192.56437499996</v>
      </c>
      <c r="O42" s="29">
        <v>0</v>
      </c>
      <c r="P42" s="29">
        <v>0</v>
      </c>
      <c r="Q42" s="29">
        <v>82109.171250000014</v>
      </c>
      <c r="R42" s="29">
        <v>206447.394375</v>
      </c>
      <c r="S42" s="29">
        <v>35882.870625000003</v>
      </c>
      <c r="T42" s="29">
        <v>0</v>
      </c>
      <c r="U42" s="167">
        <f t="shared" si="2"/>
        <v>856824.88937999995</v>
      </c>
      <c r="V42" s="29">
        <v>604483.10562500008</v>
      </c>
      <c r="W42" s="29">
        <v>0</v>
      </c>
      <c r="X42" s="29">
        <v>0</v>
      </c>
      <c r="Y42" s="29">
        <v>63862.688750000016</v>
      </c>
      <c r="Z42" s="29">
        <v>160570.19562500002</v>
      </c>
      <c r="AA42" s="29">
        <v>27908.899375000005</v>
      </c>
      <c r="AB42" s="29">
        <v>0</v>
      </c>
      <c r="AC42" s="167">
        <f t="shared" si="3"/>
        <v>0</v>
      </c>
      <c r="AD42" s="29">
        <v>0</v>
      </c>
      <c r="AE42" s="29">
        <v>0</v>
      </c>
      <c r="AF42" s="29">
        <v>0</v>
      </c>
      <c r="AG42" s="29">
        <v>0</v>
      </c>
      <c r="AH42" s="167">
        <f t="shared" si="4"/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13379532.16</v>
      </c>
      <c r="AO42" s="29">
        <v>0</v>
      </c>
      <c r="AP42" s="29">
        <v>0</v>
      </c>
      <c r="AQ42" s="29">
        <v>0</v>
      </c>
      <c r="AR42" s="167">
        <f t="shared" si="5"/>
        <v>15415396.820010001</v>
      </c>
      <c r="AS42" s="167">
        <f t="shared" si="6"/>
        <v>1290136.32</v>
      </c>
      <c r="AT42" s="29">
        <v>0</v>
      </c>
      <c r="AU42" s="29">
        <v>0</v>
      </c>
      <c r="AV42" s="29">
        <v>0</v>
      </c>
      <c r="AW42" s="29">
        <v>1038799.47</v>
      </c>
      <c r="AX42" s="29">
        <v>251336.85</v>
      </c>
      <c r="AY42" s="29">
        <v>0</v>
      </c>
      <c r="AZ42" s="167">
        <f t="shared" si="7"/>
        <v>223656097.77000001</v>
      </c>
      <c r="BA42" s="29">
        <v>97373944.760000005</v>
      </c>
      <c r="BB42" s="29">
        <v>76927759.070000008</v>
      </c>
      <c r="BC42" s="29">
        <v>0</v>
      </c>
      <c r="BD42" s="29">
        <v>11660848.48</v>
      </c>
      <c r="BE42" s="29">
        <v>21048598.98</v>
      </c>
      <c r="BF42" s="29">
        <v>15981043.9</v>
      </c>
      <c r="BG42" s="29">
        <v>0</v>
      </c>
      <c r="BH42" s="29">
        <v>663902.57999999996</v>
      </c>
      <c r="BI42" s="29">
        <v>0</v>
      </c>
      <c r="BJ42" s="167">
        <f t="shared" si="8"/>
        <v>224946234.09</v>
      </c>
      <c r="BK42" s="167">
        <f t="shared" si="9"/>
        <v>-209530837.26999</v>
      </c>
      <c r="BL42" s="167">
        <f>$BO$9+SUMPRODUCT($D$10:D42,$BK$10:BK42)</f>
        <v>353498506.68760896</v>
      </c>
      <c r="BM42" s="30">
        <f t="shared" si="10"/>
        <v>4.9000000000000004</v>
      </c>
      <c r="BN42" s="167">
        <f t="shared" si="13"/>
        <v>89840849.12872</v>
      </c>
      <c r="BO42" s="168">
        <f t="shared" si="11"/>
        <v>1713796728.7713499</v>
      </c>
      <c r="BP42" s="40">
        <f t="shared" si="14"/>
        <v>47379633.377014264</v>
      </c>
      <c r="BQ42" s="40">
        <f t="shared" si="15"/>
        <v>1539838084.7529635</v>
      </c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5">
      <c r="A43" s="169">
        <f t="shared" ref="A43:B58" si="19">A42+1</f>
        <v>34</v>
      </c>
      <c r="B43" s="170">
        <f t="shared" si="19"/>
        <v>2057</v>
      </c>
      <c r="C43" s="29">
        <v>4.9000000000000004</v>
      </c>
      <c r="D43" s="167">
        <f t="shared" si="16"/>
        <v>0.19661000000000001</v>
      </c>
      <c r="E43" s="29">
        <v>211754112.95999998</v>
      </c>
      <c r="F43" s="167">
        <f t="shared" si="18"/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66634.98000000001</v>
      </c>
      <c r="M43" s="167">
        <f t="shared" si="1"/>
        <v>895014.58499999996</v>
      </c>
      <c r="N43" s="29">
        <v>630665.37562499999</v>
      </c>
      <c r="O43" s="29">
        <v>0</v>
      </c>
      <c r="P43" s="29">
        <v>0</v>
      </c>
      <c r="Q43" s="29">
        <v>65923.363125000003</v>
      </c>
      <c r="R43" s="29">
        <v>168739.25625000001</v>
      </c>
      <c r="S43" s="29">
        <v>29686.590000000004</v>
      </c>
      <c r="T43" s="29">
        <v>0</v>
      </c>
      <c r="U43" s="167">
        <f t="shared" si="2"/>
        <v>696122.45499999996</v>
      </c>
      <c r="V43" s="29">
        <v>490517.51437500003</v>
      </c>
      <c r="W43" s="29">
        <v>0</v>
      </c>
      <c r="X43" s="29">
        <v>0</v>
      </c>
      <c r="Y43" s="29">
        <v>51273.726875000008</v>
      </c>
      <c r="Z43" s="29">
        <v>131241.64375000002</v>
      </c>
      <c r="AA43" s="29">
        <v>23089.570000000003</v>
      </c>
      <c r="AB43" s="29">
        <v>0</v>
      </c>
      <c r="AC43" s="167">
        <f t="shared" si="3"/>
        <v>0</v>
      </c>
      <c r="AD43" s="29">
        <v>0</v>
      </c>
      <c r="AE43" s="29">
        <v>0</v>
      </c>
      <c r="AF43" s="29">
        <v>0</v>
      </c>
      <c r="AG43" s="29">
        <v>0</v>
      </c>
      <c r="AH43" s="167">
        <f t="shared" si="4"/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13237197.07</v>
      </c>
      <c r="AO43" s="29">
        <v>0</v>
      </c>
      <c r="AP43" s="29">
        <v>0</v>
      </c>
      <c r="AQ43" s="29">
        <v>0</v>
      </c>
      <c r="AR43" s="167">
        <f t="shared" si="5"/>
        <v>14894969.09</v>
      </c>
      <c r="AS43" s="167">
        <f t="shared" si="6"/>
        <v>1110587.19</v>
      </c>
      <c r="AT43" s="29">
        <v>0</v>
      </c>
      <c r="AU43" s="29">
        <v>0</v>
      </c>
      <c r="AV43" s="29">
        <v>0</v>
      </c>
      <c r="AW43" s="29">
        <v>846939.86</v>
      </c>
      <c r="AX43" s="29">
        <v>263647.33</v>
      </c>
      <c r="AY43" s="29">
        <v>0</v>
      </c>
      <c r="AZ43" s="167">
        <f t="shared" si="7"/>
        <v>221284802.66999999</v>
      </c>
      <c r="BA43" s="29">
        <v>97477427.079999998</v>
      </c>
      <c r="BB43" s="29">
        <v>74235026.540000007</v>
      </c>
      <c r="BC43" s="29">
        <v>0</v>
      </c>
      <c r="BD43" s="29">
        <v>11635764.42</v>
      </c>
      <c r="BE43" s="29">
        <v>21551936.25</v>
      </c>
      <c r="BF43" s="29">
        <v>15719800.109999999</v>
      </c>
      <c r="BG43" s="29">
        <v>0</v>
      </c>
      <c r="BH43" s="29">
        <v>664848.27</v>
      </c>
      <c r="BI43" s="29">
        <v>0</v>
      </c>
      <c r="BJ43" s="167">
        <f t="shared" si="8"/>
        <v>222395389.86000001</v>
      </c>
      <c r="BK43" s="167">
        <f t="shared" si="9"/>
        <v>-207500420.77000001</v>
      </c>
      <c r="BL43" s="167">
        <f>$BO$9+SUMPRODUCT($D$10:D43,$BK$10:BK43)</f>
        <v>312701848.96001929</v>
      </c>
      <c r="BM43" s="30">
        <f t="shared" si="10"/>
        <v>4.9000000000000004</v>
      </c>
      <c r="BN43" s="167">
        <f t="shared" si="13"/>
        <v>83976039.709800005</v>
      </c>
      <c r="BO43" s="168">
        <f t="shared" si="11"/>
        <v>1590272347.7111499</v>
      </c>
      <c r="BP43" s="40">
        <f t="shared" si="14"/>
        <v>44652590.906167783</v>
      </c>
      <c r="BQ43" s="40">
        <f t="shared" si="15"/>
        <v>1495861795.3566208</v>
      </c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5">
      <c r="A44" s="169">
        <f t="shared" si="19"/>
        <v>35</v>
      </c>
      <c r="B44" s="170">
        <f t="shared" si="19"/>
        <v>2058</v>
      </c>
      <c r="C44" s="29">
        <v>4.9000000000000004</v>
      </c>
      <c r="D44" s="167">
        <f t="shared" si="16"/>
        <v>0.18743000000000001</v>
      </c>
      <c r="E44" s="29">
        <v>210833830.63</v>
      </c>
      <c r="F44" s="167">
        <f t="shared" si="18"/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63267.210000000006</v>
      </c>
      <c r="M44" s="167">
        <f t="shared" si="1"/>
        <v>508919.25938</v>
      </c>
      <c r="N44" s="29">
        <v>357437.41875000001</v>
      </c>
      <c r="O44" s="29">
        <v>0</v>
      </c>
      <c r="P44" s="29">
        <v>0</v>
      </c>
      <c r="Q44" s="29">
        <v>38043.590624999997</v>
      </c>
      <c r="R44" s="29">
        <v>96616.299375000002</v>
      </c>
      <c r="S44" s="29">
        <v>16821.950624999998</v>
      </c>
      <c r="T44" s="29">
        <v>0</v>
      </c>
      <c r="U44" s="167">
        <f t="shared" si="2"/>
        <v>395826.09062999999</v>
      </c>
      <c r="V44" s="29">
        <v>278006.88125000003</v>
      </c>
      <c r="W44" s="29">
        <v>0</v>
      </c>
      <c r="X44" s="29">
        <v>0</v>
      </c>
      <c r="Y44" s="29">
        <v>29589.459374999999</v>
      </c>
      <c r="Z44" s="29">
        <v>75146.01062500001</v>
      </c>
      <c r="AA44" s="29">
        <v>13083.739375000001</v>
      </c>
      <c r="AB44" s="29">
        <v>0</v>
      </c>
      <c r="AC44" s="167">
        <f t="shared" si="3"/>
        <v>0</v>
      </c>
      <c r="AD44" s="29">
        <v>0</v>
      </c>
      <c r="AE44" s="29">
        <v>0</v>
      </c>
      <c r="AF44" s="29">
        <v>0</v>
      </c>
      <c r="AG44" s="29">
        <v>0</v>
      </c>
      <c r="AH44" s="167">
        <f t="shared" si="4"/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13047039.609999999</v>
      </c>
      <c r="AO44" s="29">
        <v>0</v>
      </c>
      <c r="AP44" s="29">
        <v>0</v>
      </c>
      <c r="AQ44" s="29">
        <v>0</v>
      </c>
      <c r="AR44" s="167">
        <f t="shared" si="5"/>
        <v>14015052.17001</v>
      </c>
      <c r="AS44" s="167">
        <f t="shared" si="6"/>
        <v>1054449.27</v>
      </c>
      <c r="AT44" s="29">
        <v>0</v>
      </c>
      <c r="AU44" s="29">
        <v>0</v>
      </c>
      <c r="AV44" s="29">
        <v>0</v>
      </c>
      <c r="AW44" s="29">
        <v>806274.56000000006</v>
      </c>
      <c r="AX44" s="29">
        <v>248174.71000000002</v>
      </c>
      <c r="AY44" s="29">
        <v>0</v>
      </c>
      <c r="AZ44" s="167">
        <f t="shared" si="7"/>
        <v>218097626.31</v>
      </c>
      <c r="BA44" s="29">
        <v>96033190.060000002</v>
      </c>
      <c r="BB44" s="29">
        <v>73589279.100000009</v>
      </c>
      <c r="BC44" s="29">
        <v>0</v>
      </c>
      <c r="BD44" s="29">
        <v>11097151.529999999</v>
      </c>
      <c r="BE44" s="29">
        <v>21252122.170000002</v>
      </c>
      <c r="BF44" s="29">
        <v>15478917.640000001</v>
      </c>
      <c r="BG44" s="29">
        <v>0</v>
      </c>
      <c r="BH44" s="29">
        <v>646965.81000000006</v>
      </c>
      <c r="BI44" s="29">
        <v>0</v>
      </c>
      <c r="BJ44" s="167">
        <f t="shared" si="8"/>
        <v>219152075.58000001</v>
      </c>
      <c r="BK44" s="167">
        <f t="shared" si="9"/>
        <v>-205137023.40999001</v>
      </c>
      <c r="BL44" s="167">
        <f>$BO$9+SUMPRODUCT($D$10:D44,$BK$10:BK44)</f>
        <v>274253016.66228485</v>
      </c>
      <c r="BM44" s="30">
        <f t="shared" si="10"/>
        <v>4.9000000000000004</v>
      </c>
      <c r="BN44" s="167">
        <f t="shared" si="13"/>
        <v>77923345.037850007</v>
      </c>
      <c r="BO44" s="168">
        <f t="shared" si="11"/>
        <v>1463058669.33901</v>
      </c>
      <c r="BP44" s="40">
        <f t="shared" si="14"/>
        <v>41947613.206682488</v>
      </c>
      <c r="BQ44" s="40">
        <f t="shared" si="15"/>
        <v>1447192655.6305459</v>
      </c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A45" s="169">
        <f t="shared" si="19"/>
        <v>36</v>
      </c>
      <c r="B45" s="170">
        <f t="shared" si="19"/>
        <v>2059</v>
      </c>
      <c r="C45" s="29">
        <v>4.9000000000000004</v>
      </c>
      <c r="D45" s="167">
        <f t="shared" si="16"/>
        <v>0.17867</v>
      </c>
      <c r="E45" s="29">
        <v>211864285.28</v>
      </c>
      <c r="F45" s="167">
        <f t="shared" si="18"/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52870.340000000004</v>
      </c>
      <c r="M45" s="167">
        <f t="shared" si="1"/>
        <v>202109.63063</v>
      </c>
      <c r="N45" s="29">
        <v>157848.35062500002</v>
      </c>
      <c r="O45" s="29">
        <v>0</v>
      </c>
      <c r="P45" s="29">
        <v>0</v>
      </c>
      <c r="Q45" s="29">
        <v>10017.129375</v>
      </c>
      <c r="R45" s="29">
        <v>28174.955625000002</v>
      </c>
      <c r="S45" s="29">
        <v>6069.1949999999997</v>
      </c>
      <c r="T45" s="29">
        <v>0</v>
      </c>
      <c r="U45" s="167">
        <f t="shared" si="2"/>
        <v>157196.37938</v>
      </c>
      <c r="V45" s="29">
        <v>122770.93937500003</v>
      </c>
      <c r="W45" s="29">
        <v>0</v>
      </c>
      <c r="X45" s="29">
        <v>0</v>
      </c>
      <c r="Y45" s="29">
        <v>7791.1006250000009</v>
      </c>
      <c r="Z45" s="29">
        <v>21913.854375000006</v>
      </c>
      <c r="AA45" s="29">
        <v>4720.4850000000006</v>
      </c>
      <c r="AB45" s="29">
        <v>0</v>
      </c>
      <c r="AC45" s="167">
        <f t="shared" si="3"/>
        <v>0</v>
      </c>
      <c r="AD45" s="29">
        <v>0</v>
      </c>
      <c r="AE45" s="29">
        <v>0</v>
      </c>
      <c r="AF45" s="29">
        <v>0</v>
      </c>
      <c r="AG45" s="29">
        <v>0</v>
      </c>
      <c r="AH45" s="167">
        <f t="shared" si="4"/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12834788.32</v>
      </c>
      <c r="AO45" s="29">
        <v>0</v>
      </c>
      <c r="AP45" s="29">
        <v>0</v>
      </c>
      <c r="AQ45" s="29">
        <v>0</v>
      </c>
      <c r="AR45" s="167">
        <f t="shared" si="5"/>
        <v>13246964.67001</v>
      </c>
      <c r="AS45" s="167">
        <f t="shared" si="6"/>
        <v>881167.43</v>
      </c>
      <c r="AT45" s="29">
        <v>0</v>
      </c>
      <c r="AU45" s="29">
        <v>0</v>
      </c>
      <c r="AV45" s="29">
        <v>0</v>
      </c>
      <c r="AW45" s="29">
        <v>620825.69999999995</v>
      </c>
      <c r="AX45" s="29">
        <v>260341.73</v>
      </c>
      <c r="AY45" s="29">
        <v>0</v>
      </c>
      <c r="AZ45" s="167">
        <f t="shared" si="7"/>
        <v>214492554.12</v>
      </c>
      <c r="BA45" s="29">
        <v>93930756.420000002</v>
      </c>
      <c r="BB45" s="29">
        <v>72770848.450000003</v>
      </c>
      <c r="BC45" s="29">
        <v>0</v>
      </c>
      <c r="BD45" s="29">
        <v>10876392.039999999</v>
      </c>
      <c r="BE45" s="29">
        <v>21154251.200000003</v>
      </c>
      <c r="BF45" s="29">
        <v>15180885.779999999</v>
      </c>
      <c r="BG45" s="29">
        <v>0</v>
      </c>
      <c r="BH45" s="29">
        <v>579420.23</v>
      </c>
      <c r="BI45" s="29">
        <v>0</v>
      </c>
      <c r="BJ45" s="167">
        <f t="shared" si="8"/>
        <v>215373721.55000001</v>
      </c>
      <c r="BK45" s="167">
        <f t="shared" si="9"/>
        <v>-202126756.87999001</v>
      </c>
      <c r="BL45" s="167">
        <f>$BO$9+SUMPRODUCT($D$10:D45,$BK$10:BK45)</f>
        <v>238139029.01053703</v>
      </c>
      <c r="BM45" s="30">
        <f t="shared" si="10"/>
        <v>4.9000000000000004</v>
      </c>
      <c r="BN45" s="167">
        <f t="shared" si="13"/>
        <v>71689874.79761</v>
      </c>
      <c r="BO45" s="168">
        <f t="shared" si="11"/>
        <v>1332621787.2566299</v>
      </c>
      <c r="BP45" s="40">
        <f t="shared" si="14"/>
        <v>39309084.027870685</v>
      </c>
      <c r="BQ45" s="40">
        <f t="shared" si="15"/>
        <v>1395472482.9894092</v>
      </c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5">
      <c r="A46" s="169">
        <f t="shared" si="19"/>
        <v>37</v>
      </c>
      <c r="B46" s="170">
        <f t="shared" si="19"/>
        <v>2060</v>
      </c>
      <c r="C46" s="29">
        <v>4.9000000000000004</v>
      </c>
      <c r="D46" s="167">
        <f t="shared" si="16"/>
        <v>0.17032</v>
      </c>
      <c r="E46" s="29">
        <v>203525923.35999998</v>
      </c>
      <c r="F46" s="167">
        <f t="shared" si="18"/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33421.019999999997</v>
      </c>
      <c r="M46" s="167">
        <f t="shared" si="1"/>
        <v>100193.45063000001</v>
      </c>
      <c r="N46" s="29">
        <v>78389.808749999997</v>
      </c>
      <c r="O46" s="29">
        <v>0</v>
      </c>
      <c r="P46" s="29">
        <v>0</v>
      </c>
      <c r="Q46" s="29">
        <v>4657.0612499999997</v>
      </c>
      <c r="R46" s="29">
        <v>14210.701874999999</v>
      </c>
      <c r="S46" s="29">
        <v>2935.8787499999999</v>
      </c>
      <c r="T46" s="29">
        <v>0</v>
      </c>
      <c r="U46" s="167">
        <f t="shared" si="2"/>
        <v>77928.239379999999</v>
      </c>
      <c r="V46" s="29">
        <v>60969.851250000007</v>
      </c>
      <c r="W46" s="29">
        <v>0</v>
      </c>
      <c r="X46" s="29">
        <v>0</v>
      </c>
      <c r="Y46" s="29">
        <v>3622.1587500000001</v>
      </c>
      <c r="Z46" s="29">
        <v>11052.768125000001</v>
      </c>
      <c r="AA46" s="29">
        <v>2283.4612500000003</v>
      </c>
      <c r="AB46" s="29">
        <v>0</v>
      </c>
      <c r="AC46" s="167">
        <f t="shared" si="3"/>
        <v>0</v>
      </c>
      <c r="AD46" s="29">
        <v>0</v>
      </c>
      <c r="AE46" s="29">
        <v>0</v>
      </c>
      <c r="AF46" s="29">
        <v>0</v>
      </c>
      <c r="AG46" s="29">
        <v>0</v>
      </c>
      <c r="AH46" s="167">
        <f t="shared" si="4"/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12068088.77</v>
      </c>
      <c r="AO46" s="29">
        <v>0</v>
      </c>
      <c r="AP46" s="29">
        <v>0</v>
      </c>
      <c r="AQ46" s="29">
        <v>0</v>
      </c>
      <c r="AR46" s="167">
        <f t="shared" si="5"/>
        <v>12279631.480009999</v>
      </c>
      <c r="AS46" s="167">
        <f t="shared" si="6"/>
        <v>557003.12</v>
      </c>
      <c r="AT46" s="29">
        <v>0</v>
      </c>
      <c r="AU46" s="29">
        <v>0</v>
      </c>
      <c r="AV46" s="29">
        <v>0</v>
      </c>
      <c r="AW46" s="29">
        <v>457740.44</v>
      </c>
      <c r="AX46" s="29">
        <v>99262.68</v>
      </c>
      <c r="AY46" s="29">
        <v>0</v>
      </c>
      <c r="AZ46" s="167">
        <f t="shared" si="7"/>
        <v>201644239.91999999</v>
      </c>
      <c r="BA46" s="29">
        <v>88080227.140000001</v>
      </c>
      <c r="BB46" s="29">
        <v>70003823.420000002</v>
      </c>
      <c r="BC46" s="29">
        <v>0</v>
      </c>
      <c r="BD46" s="29">
        <v>9708588.3699999992</v>
      </c>
      <c r="BE46" s="29">
        <v>19200841.57</v>
      </c>
      <c r="BF46" s="29">
        <v>14141334.529999999</v>
      </c>
      <c r="BG46" s="29">
        <v>0</v>
      </c>
      <c r="BH46" s="29">
        <v>509424.89</v>
      </c>
      <c r="BI46" s="29">
        <v>0</v>
      </c>
      <c r="BJ46" s="167">
        <f t="shared" si="8"/>
        <v>202201243.03999999</v>
      </c>
      <c r="BK46" s="167">
        <f t="shared" si="9"/>
        <v>-189921611.55998999</v>
      </c>
      <c r="BL46" s="167">
        <f>$BO$9+SUMPRODUCT($D$10:D46,$BK$10:BK46)</f>
        <v>205791580.12963951</v>
      </c>
      <c r="BM46" s="30">
        <f t="shared" si="10"/>
        <v>4.9000000000000004</v>
      </c>
      <c r="BN46" s="167">
        <f t="shared" si="13"/>
        <v>65298467.575570002</v>
      </c>
      <c r="BO46" s="168">
        <f t="shared" si="11"/>
        <v>1207998643.2722099</v>
      </c>
      <c r="BP46" s="40">
        <f t="shared" si="14"/>
        <v>35187058.405575015</v>
      </c>
      <c r="BQ46" s="40">
        <f t="shared" si="15"/>
        <v>1284327631.803488</v>
      </c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5">
      <c r="A47" s="169">
        <f t="shared" si="19"/>
        <v>38</v>
      </c>
      <c r="B47" s="170">
        <f t="shared" si="19"/>
        <v>2061</v>
      </c>
      <c r="C47" s="29">
        <v>4.9000000000000004</v>
      </c>
      <c r="D47" s="167">
        <f t="shared" si="16"/>
        <v>0.16236</v>
      </c>
      <c r="E47" s="29">
        <v>201263391.23999998</v>
      </c>
      <c r="F47" s="167">
        <f t="shared" si="18"/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20087.62</v>
      </c>
      <c r="M47" s="167">
        <f t="shared" si="1"/>
        <v>47766.262499999997</v>
      </c>
      <c r="N47" s="29">
        <v>37243.951874999999</v>
      </c>
      <c r="O47" s="29">
        <v>0</v>
      </c>
      <c r="P47" s="29">
        <v>0</v>
      </c>
      <c r="Q47" s="29">
        <v>2258.3756250000001</v>
      </c>
      <c r="R47" s="29">
        <v>6868.2375000000002</v>
      </c>
      <c r="S47" s="29">
        <v>1395.6975000000002</v>
      </c>
      <c r="T47" s="29">
        <v>0</v>
      </c>
      <c r="U47" s="167">
        <f t="shared" si="2"/>
        <v>37151.537499999999</v>
      </c>
      <c r="V47" s="29">
        <v>28967.518125000006</v>
      </c>
      <c r="W47" s="29">
        <v>0</v>
      </c>
      <c r="X47" s="29">
        <v>0</v>
      </c>
      <c r="Y47" s="29">
        <v>1756.5143750000004</v>
      </c>
      <c r="Z47" s="29">
        <v>5341.9625000000005</v>
      </c>
      <c r="AA47" s="29">
        <v>1085.5425000000002</v>
      </c>
      <c r="AB47" s="29">
        <v>0</v>
      </c>
      <c r="AC47" s="167">
        <f t="shared" si="3"/>
        <v>0</v>
      </c>
      <c r="AD47" s="29">
        <v>0</v>
      </c>
      <c r="AE47" s="29">
        <v>0</v>
      </c>
      <c r="AF47" s="29">
        <v>0</v>
      </c>
      <c r="AG47" s="29">
        <v>0</v>
      </c>
      <c r="AH47" s="167">
        <f t="shared" si="4"/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11657233.859999999</v>
      </c>
      <c r="AO47" s="29">
        <v>0</v>
      </c>
      <c r="AP47" s="29">
        <v>0</v>
      </c>
      <c r="AQ47" s="29">
        <v>0</v>
      </c>
      <c r="AR47" s="167">
        <f t="shared" si="5"/>
        <v>11762239.279999999</v>
      </c>
      <c r="AS47" s="167">
        <f t="shared" si="6"/>
        <v>334801.21000000002</v>
      </c>
      <c r="AT47" s="29">
        <v>0</v>
      </c>
      <c r="AU47" s="29">
        <v>0</v>
      </c>
      <c r="AV47" s="29">
        <v>0</v>
      </c>
      <c r="AW47" s="29">
        <v>271063.48</v>
      </c>
      <c r="AX47" s="29">
        <v>63737.73</v>
      </c>
      <c r="AY47" s="29">
        <v>0</v>
      </c>
      <c r="AZ47" s="167">
        <f t="shared" si="7"/>
        <v>194677245.77000001</v>
      </c>
      <c r="BA47" s="29">
        <v>85930002.680000007</v>
      </c>
      <c r="BB47" s="29">
        <v>67368865.49000001</v>
      </c>
      <c r="BC47" s="29">
        <v>0</v>
      </c>
      <c r="BD47" s="29">
        <v>9113117.9100000001</v>
      </c>
      <c r="BE47" s="29">
        <v>18267370.180000003</v>
      </c>
      <c r="BF47" s="29">
        <v>13607881.310000001</v>
      </c>
      <c r="BG47" s="29">
        <v>0</v>
      </c>
      <c r="BH47" s="29">
        <v>390008.2</v>
      </c>
      <c r="BI47" s="29">
        <v>0</v>
      </c>
      <c r="BJ47" s="167">
        <f t="shared" si="8"/>
        <v>195012046.97999999</v>
      </c>
      <c r="BK47" s="167">
        <f t="shared" si="9"/>
        <v>-183249807.69999999</v>
      </c>
      <c r="BL47" s="167">
        <f>$BO$9+SUMPRODUCT($D$10:D47,$BK$10:BK47)</f>
        <v>176039141.35146749</v>
      </c>
      <c r="BM47" s="30">
        <f t="shared" si="10"/>
        <v>4.9000000000000004</v>
      </c>
      <c r="BN47" s="167">
        <f t="shared" si="13"/>
        <v>59191933.520340003</v>
      </c>
      <c r="BO47" s="168">
        <f t="shared" si="11"/>
        <v>1083940769.09255</v>
      </c>
      <c r="BP47" s="40">
        <f t="shared" si="14"/>
        <v>32367653.068002205</v>
      </c>
      <c r="BQ47" s="40">
        <f t="shared" si="15"/>
        <v>1213786990.0500827</v>
      </c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x14ac:dyDescent="0.25">
      <c r="A48" s="169">
        <f t="shared" si="19"/>
        <v>39</v>
      </c>
      <c r="B48" s="170">
        <f t="shared" si="19"/>
        <v>2062</v>
      </c>
      <c r="C48" s="29">
        <v>4.9000000000000004</v>
      </c>
      <c r="D48" s="167">
        <f t="shared" si="16"/>
        <v>0.15478</v>
      </c>
      <c r="E48" s="29">
        <v>197326409.70999998</v>
      </c>
      <c r="F48" s="167">
        <f t="shared" si="18"/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17060.66</v>
      </c>
      <c r="M48" s="167">
        <f t="shared" si="1"/>
        <v>26703.725630000001</v>
      </c>
      <c r="N48" s="29">
        <v>20819.317500000001</v>
      </c>
      <c r="O48" s="29">
        <v>0</v>
      </c>
      <c r="P48" s="29">
        <v>0</v>
      </c>
      <c r="Q48" s="29">
        <v>1278.6750000000002</v>
      </c>
      <c r="R48" s="29">
        <v>3853.3950000000004</v>
      </c>
      <c r="S48" s="29">
        <v>752.33812499999999</v>
      </c>
      <c r="T48" s="29">
        <v>0</v>
      </c>
      <c r="U48" s="167">
        <f t="shared" si="2"/>
        <v>20769.56438</v>
      </c>
      <c r="V48" s="29">
        <v>16192.802500000003</v>
      </c>
      <c r="W48" s="29">
        <v>0</v>
      </c>
      <c r="X48" s="29">
        <v>0</v>
      </c>
      <c r="Y48" s="29">
        <v>994.5250000000002</v>
      </c>
      <c r="Z48" s="29">
        <v>2997.0850000000005</v>
      </c>
      <c r="AA48" s="29">
        <v>585.15187500000013</v>
      </c>
      <c r="AB48" s="29">
        <v>0</v>
      </c>
      <c r="AC48" s="167">
        <f t="shared" si="3"/>
        <v>0</v>
      </c>
      <c r="AD48" s="29">
        <v>0</v>
      </c>
      <c r="AE48" s="29">
        <v>0</v>
      </c>
      <c r="AF48" s="29">
        <v>0</v>
      </c>
      <c r="AG48" s="29">
        <v>0</v>
      </c>
      <c r="AH48" s="167">
        <f t="shared" si="4"/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11131497.58</v>
      </c>
      <c r="AO48" s="29">
        <v>0</v>
      </c>
      <c r="AP48" s="29">
        <v>0</v>
      </c>
      <c r="AQ48" s="29">
        <v>0</v>
      </c>
      <c r="AR48" s="167">
        <f t="shared" si="5"/>
        <v>11196031.53001</v>
      </c>
      <c r="AS48" s="167">
        <f t="shared" si="6"/>
        <v>284337.96999999997</v>
      </c>
      <c r="AT48" s="29">
        <v>0</v>
      </c>
      <c r="AU48" s="29">
        <v>0</v>
      </c>
      <c r="AV48" s="29">
        <v>0</v>
      </c>
      <c r="AW48" s="29">
        <v>284337.97000000003</v>
      </c>
      <c r="AX48" s="29">
        <v>0</v>
      </c>
      <c r="AY48" s="29">
        <v>0</v>
      </c>
      <c r="AZ48" s="167">
        <f t="shared" si="7"/>
        <v>185804296.5</v>
      </c>
      <c r="BA48" s="29">
        <v>82071551.900000006</v>
      </c>
      <c r="BB48" s="29">
        <v>64200501.82</v>
      </c>
      <c r="BC48" s="29">
        <v>0</v>
      </c>
      <c r="BD48" s="29">
        <v>8659183.8399999999</v>
      </c>
      <c r="BE48" s="29">
        <v>17662153.920000002</v>
      </c>
      <c r="BF48" s="29">
        <v>12931564.43</v>
      </c>
      <c r="BG48" s="29">
        <v>0</v>
      </c>
      <c r="BH48" s="29">
        <v>279340.59000000003</v>
      </c>
      <c r="BI48" s="29">
        <v>0</v>
      </c>
      <c r="BJ48" s="167">
        <f t="shared" si="8"/>
        <v>186088634.47</v>
      </c>
      <c r="BK48" s="167">
        <f t="shared" si="9"/>
        <v>-174892602.93999001</v>
      </c>
      <c r="BL48" s="167">
        <f>$BO$9+SUMPRODUCT($D$10:D48,$BK$10:BK48)</f>
        <v>148969264.26841581</v>
      </c>
      <c r="BM48" s="30">
        <f t="shared" si="10"/>
        <v>4.9000000000000004</v>
      </c>
      <c r="BN48" s="167">
        <f t="shared" si="13"/>
        <v>53113097.685539998</v>
      </c>
      <c r="BO48" s="168">
        <f t="shared" si="11"/>
        <v>962161263.83809996</v>
      </c>
      <c r="BP48" s="40">
        <f t="shared" si="14"/>
        <v>29458534.476038959</v>
      </c>
      <c r="BQ48" s="40">
        <f t="shared" si="15"/>
        <v>1134153577.3274999</v>
      </c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x14ac:dyDescent="0.25">
      <c r="A49" s="169">
        <f t="shared" si="19"/>
        <v>40</v>
      </c>
      <c r="B49" s="170">
        <f t="shared" si="19"/>
        <v>2063</v>
      </c>
      <c r="C49" s="29">
        <v>4.9000000000000004</v>
      </c>
      <c r="D49" s="167">
        <f t="shared" si="16"/>
        <v>0.14754999999999999</v>
      </c>
      <c r="E49" s="29">
        <v>193348987.72</v>
      </c>
      <c r="F49" s="167">
        <f t="shared" si="18"/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11086.34</v>
      </c>
      <c r="M49" s="167">
        <f t="shared" si="1"/>
        <v>5068.8618800000004</v>
      </c>
      <c r="N49" s="29">
        <v>3916.850625</v>
      </c>
      <c r="O49" s="29">
        <v>0</v>
      </c>
      <c r="P49" s="29">
        <v>0</v>
      </c>
      <c r="Q49" s="29">
        <v>251.825625</v>
      </c>
      <c r="R49" s="29">
        <v>755.67375000000004</v>
      </c>
      <c r="S49" s="29">
        <v>144.51187499999997</v>
      </c>
      <c r="T49" s="29">
        <v>0</v>
      </c>
      <c r="U49" s="167">
        <f t="shared" si="2"/>
        <v>3942.4481300000002</v>
      </c>
      <c r="V49" s="29">
        <v>3046.4393750000004</v>
      </c>
      <c r="W49" s="29">
        <v>0</v>
      </c>
      <c r="X49" s="29">
        <v>0</v>
      </c>
      <c r="Y49" s="29">
        <v>195.86437500000002</v>
      </c>
      <c r="Z49" s="29">
        <v>587.74625000000015</v>
      </c>
      <c r="AA49" s="29">
        <v>112.39812500000001</v>
      </c>
      <c r="AB49" s="29">
        <v>0</v>
      </c>
      <c r="AC49" s="167">
        <f t="shared" si="3"/>
        <v>0</v>
      </c>
      <c r="AD49" s="29">
        <v>0</v>
      </c>
      <c r="AE49" s="29">
        <v>0</v>
      </c>
      <c r="AF49" s="29">
        <v>0</v>
      </c>
      <c r="AG49" s="29">
        <v>0</v>
      </c>
      <c r="AH49" s="167">
        <f t="shared" si="4"/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10743679.99</v>
      </c>
      <c r="AO49" s="29">
        <v>0</v>
      </c>
      <c r="AP49" s="29">
        <v>0</v>
      </c>
      <c r="AQ49" s="29">
        <v>0</v>
      </c>
      <c r="AR49" s="167">
        <f t="shared" si="5"/>
        <v>10763777.640009999</v>
      </c>
      <c r="AS49" s="167">
        <f t="shared" si="6"/>
        <v>184773.63</v>
      </c>
      <c r="AT49" s="29">
        <v>0</v>
      </c>
      <c r="AU49" s="29">
        <v>0</v>
      </c>
      <c r="AV49" s="29">
        <v>0</v>
      </c>
      <c r="AW49" s="29">
        <v>184773.63</v>
      </c>
      <c r="AX49" s="29">
        <v>0</v>
      </c>
      <c r="AY49" s="29">
        <v>0</v>
      </c>
      <c r="AZ49" s="167">
        <f t="shared" si="7"/>
        <v>179298856.80000001</v>
      </c>
      <c r="BA49" s="29">
        <v>78998622.160000011</v>
      </c>
      <c r="BB49" s="29">
        <v>62361193.309999995</v>
      </c>
      <c r="BC49" s="29">
        <v>0</v>
      </c>
      <c r="BD49" s="29">
        <v>8269786.2299999995</v>
      </c>
      <c r="BE49" s="29">
        <v>17049162.450000003</v>
      </c>
      <c r="BF49" s="29">
        <v>12382561.26</v>
      </c>
      <c r="BG49" s="29">
        <v>0</v>
      </c>
      <c r="BH49" s="29">
        <v>237531.39</v>
      </c>
      <c r="BI49" s="29">
        <v>0</v>
      </c>
      <c r="BJ49" s="167">
        <f t="shared" si="8"/>
        <v>179483630.43000001</v>
      </c>
      <c r="BK49" s="167">
        <f t="shared" si="9"/>
        <v>-168719852.78999001</v>
      </c>
      <c r="BL49" s="167">
        <f>$BO$9+SUMPRODUCT($D$10:D49,$BK$10:BK49)</f>
        <v>124074649.98925281</v>
      </c>
      <c r="BM49" s="30">
        <f t="shared" si="10"/>
        <v>4.9000000000000004</v>
      </c>
      <c r="BN49" s="167">
        <f t="shared" si="13"/>
        <v>47145901.928070001</v>
      </c>
      <c r="BO49" s="168">
        <f t="shared" si="11"/>
        <v>840587312.97617996</v>
      </c>
      <c r="BP49" s="40">
        <f t="shared" si="14"/>
        <v>27090556.667530902</v>
      </c>
      <c r="BQ49" s="40">
        <f t="shared" si="15"/>
        <v>1070076988.3674706</v>
      </c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x14ac:dyDescent="0.25">
      <c r="A50" s="169">
        <f t="shared" si="19"/>
        <v>41</v>
      </c>
      <c r="B50" s="170">
        <f t="shared" si="19"/>
        <v>2064</v>
      </c>
      <c r="C50" s="29">
        <v>4.9000000000000004</v>
      </c>
      <c r="D50" s="167">
        <f t="shared" si="16"/>
        <v>0.14066000000000001</v>
      </c>
      <c r="E50" s="29">
        <v>177569452.85999998</v>
      </c>
      <c r="F50" s="167">
        <f t="shared" si="18"/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8807.7900000000009</v>
      </c>
      <c r="M50" s="167">
        <f t="shared" si="1"/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167">
        <f t="shared" si="2"/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167">
        <f t="shared" si="3"/>
        <v>0</v>
      </c>
      <c r="AD50" s="29">
        <v>0</v>
      </c>
      <c r="AE50" s="29">
        <v>0</v>
      </c>
      <c r="AF50" s="29">
        <v>0</v>
      </c>
      <c r="AG50" s="29">
        <v>0</v>
      </c>
      <c r="AH50" s="167">
        <f t="shared" si="4"/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9460409.0700000003</v>
      </c>
      <c r="AO50" s="29">
        <v>0</v>
      </c>
      <c r="AP50" s="29">
        <v>0</v>
      </c>
      <c r="AQ50" s="29">
        <v>0</v>
      </c>
      <c r="AR50" s="167">
        <f t="shared" si="5"/>
        <v>9469216.8599999994</v>
      </c>
      <c r="AS50" s="167">
        <f t="shared" si="6"/>
        <v>146791.82</v>
      </c>
      <c r="AT50" s="29">
        <v>0</v>
      </c>
      <c r="AU50" s="29">
        <v>0</v>
      </c>
      <c r="AV50" s="29">
        <v>0</v>
      </c>
      <c r="AW50" s="29">
        <v>146791.82</v>
      </c>
      <c r="AX50" s="29">
        <v>0</v>
      </c>
      <c r="AY50" s="29">
        <v>0</v>
      </c>
      <c r="AZ50" s="167">
        <f t="shared" si="7"/>
        <v>157906128.69999999</v>
      </c>
      <c r="BA50" s="29">
        <v>71443957.370000005</v>
      </c>
      <c r="BB50" s="29">
        <v>52363220</v>
      </c>
      <c r="BC50" s="29">
        <v>0</v>
      </c>
      <c r="BD50" s="29">
        <v>7414572.8300000001</v>
      </c>
      <c r="BE50" s="29">
        <v>15696343.560000001</v>
      </c>
      <c r="BF50" s="29">
        <v>10755385.359999999</v>
      </c>
      <c r="BG50" s="29">
        <v>0</v>
      </c>
      <c r="BH50" s="29">
        <v>232649.58000000002</v>
      </c>
      <c r="BI50" s="29">
        <v>0</v>
      </c>
      <c r="BJ50" s="167">
        <f t="shared" si="8"/>
        <v>158052920.52000001</v>
      </c>
      <c r="BK50" s="167">
        <f t="shared" si="9"/>
        <v>-148583703.66</v>
      </c>
      <c r="BL50" s="167">
        <f>$BO$9+SUMPRODUCT($D$10:D50,$BK$10:BK50)</f>
        <v>103174866.23243719</v>
      </c>
      <c r="BM50" s="30">
        <f t="shared" si="10"/>
        <v>4.9000000000000004</v>
      </c>
      <c r="BN50" s="167">
        <f t="shared" si="13"/>
        <v>41188778.335830003</v>
      </c>
      <c r="BO50" s="168">
        <f t="shared" si="11"/>
        <v>733192387.65200996</v>
      </c>
      <c r="BP50" s="40">
        <f t="shared" si="14"/>
        <v>22738170.191769104</v>
      </c>
      <c r="BQ50" s="40">
        <f t="shared" si="15"/>
        <v>920895892.76664877</v>
      </c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x14ac:dyDescent="0.25">
      <c r="A51" s="169">
        <f t="shared" si="19"/>
        <v>42</v>
      </c>
      <c r="B51" s="170">
        <f t="shared" si="19"/>
        <v>2065</v>
      </c>
      <c r="C51" s="29">
        <v>4.9000000000000004</v>
      </c>
      <c r="D51" s="167">
        <f t="shared" si="16"/>
        <v>0.13408999999999999</v>
      </c>
      <c r="E51" s="29">
        <v>168432607.42999998</v>
      </c>
      <c r="F51" s="167">
        <f t="shared" si="18"/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9239.33</v>
      </c>
      <c r="M51" s="167">
        <f t="shared" si="1"/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167">
        <f t="shared" si="2"/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167">
        <f t="shared" si="3"/>
        <v>0</v>
      </c>
      <c r="AD51" s="29">
        <v>0</v>
      </c>
      <c r="AE51" s="29">
        <v>0</v>
      </c>
      <c r="AF51" s="29">
        <v>0</v>
      </c>
      <c r="AG51" s="29">
        <v>0</v>
      </c>
      <c r="AH51" s="167">
        <f t="shared" si="4"/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8828344.8599999994</v>
      </c>
      <c r="AO51" s="29">
        <v>0</v>
      </c>
      <c r="AP51" s="29">
        <v>0</v>
      </c>
      <c r="AQ51" s="29">
        <v>0</v>
      </c>
      <c r="AR51" s="167">
        <f t="shared" si="5"/>
        <v>8837584.1899999995</v>
      </c>
      <c r="AS51" s="167">
        <f t="shared" si="6"/>
        <v>153984.03</v>
      </c>
      <c r="AT51" s="29">
        <v>0</v>
      </c>
      <c r="AU51" s="29">
        <v>0</v>
      </c>
      <c r="AV51" s="29">
        <v>0</v>
      </c>
      <c r="AW51" s="29">
        <v>153984.03</v>
      </c>
      <c r="AX51" s="29">
        <v>0</v>
      </c>
      <c r="AY51" s="29">
        <v>0</v>
      </c>
      <c r="AZ51" s="167">
        <f t="shared" si="7"/>
        <v>147365709.75999999</v>
      </c>
      <c r="BA51" s="29">
        <v>66930640.269999996</v>
      </c>
      <c r="BB51" s="29">
        <v>49218970.049999997</v>
      </c>
      <c r="BC51" s="29">
        <v>0</v>
      </c>
      <c r="BD51" s="29">
        <v>6706225.8899999997</v>
      </c>
      <c r="BE51" s="29">
        <v>14321912.73</v>
      </c>
      <c r="BF51" s="29">
        <v>9961329.3399999999</v>
      </c>
      <c r="BG51" s="29">
        <v>0</v>
      </c>
      <c r="BH51" s="29">
        <v>226631.48</v>
      </c>
      <c r="BI51" s="29">
        <v>0</v>
      </c>
      <c r="BJ51" s="167">
        <f t="shared" si="8"/>
        <v>147519693.78999999</v>
      </c>
      <c r="BK51" s="167">
        <f t="shared" si="9"/>
        <v>-138682109.59999999</v>
      </c>
      <c r="BL51" s="167">
        <f>$BO$9+SUMPRODUCT($D$10:D51,$BK$10:BK51)</f>
        <v>84578982.15617317</v>
      </c>
      <c r="BM51" s="30">
        <f t="shared" si="10"/>
        <v>4.9000000000000004</v>
      </c>
      <c r="BN51" s="167">
        <f t="shared" si="13"/>
        <v>35926426.994949996</v>
      </c>
      <c r="BO51" s="168">
        <f t="shared" si="11"/>
        <v>630436705.04696</v>
      </c>
      <c r="BP51" s="40">
        <f t="shared" si="14"/>
        <v>20230169.961896431</v>
      </c>
      <c r="BQ51" s="40">
        <f t="shared" si="15"/>
        <v>839552053.41870189</v>
      </c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25">
      <c r="A52" s="169">
        <f t="shared" si="19"/>
        <v>43</v>
      </c>
      <c r="B52" s="170">
        <f t="shared" si="19"/>
        <v>2066</v>
      </c>
      <c r="C52" s="29">
        <v>4.9000000000000004</v>
      </c>
      <c r="D52" s="167">
        <f t="shared" si="16"/>
        <v>0.12783</v>
      </c>
      <c r="E52" s="29">
        <v>156958976.57999998</v>
      </c>
      <c r="F52" s="167">
        <f t="shared" si="18"/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2753.32</v>
      </c>
      <c r="M52" s="167">
        <f t="shared" si="1"/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167">
        <f t="shared" si="2"/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167">
        <f t="shared" si="3"/>
        <v>0</v>
      </c>
      <c r="AD52" s="29">
        <v>0</v>
      </c>
      <c r="AE52" s="29">
        <v>0</v>
      </c>
      <c r="AF52" s="29">
        <v>0</v>
      </c>
      <c r="AG52" s="29">
        <v>0</v>
      </c>
      <c r="AH52" s="167">
        <f t="shared" si="4"/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8041903.1899999995</v>
      </c>
      <c r="AO52" s="29">
        <v>0</v>
      </c>
      <c r="AP52" s="29">
        <v>0</v>
      </c>
      <c r="AQ52" s="29">
        <v>0</v>
      </c>
      <c r="AR52" s="167">
        <f t="shared" si="5"/>
        <v>8044656.5099999998</v>
      </c>
      <c r="AS52" s="167">
        <f t="shared" si="6"/>
        <v>45890.58</v>
      </c>
      <c r="AT52" s="29">
        <v>0</v>
      </c>
      <c r="AU52" s="29">
        <v>0</v>
      </c>
      <c r="AV52" s="29">
        <v>0</v>
      </c>
      <c r="AW52" s="29">
        <v>45890.58</v>
      </c>
      <c r="AX52" s="29">
        <v>0</v>
      </c>
      <c r="AY52" s="29">
        <v>0</v>
      </c>
      <c r="AZ52" s="167">
        <f t="shared" si="7"/>
        <v>134234123.36000001</v>
      </c>
      <c r="BA52" s="29">
        <v>60389369.149999999</v>
      </c>
      <c r="BB52" s="29">
        <v>45497316.390000001</v>
      </c>
      <c r="BC52" s="29">
        <v>0</v>
      </c>
      <c r="BD52" s="29">
        <v>6107199.5800000001</v>
      </c>
      <c r="BE52" s="29">
        <v>13064970.27</v>
      </c>
      <c r="BF52" s="29">
        <v>8972861.3900000006</v>
      </c>
      <c r="BG52" s="29">
        <v>0</v>
      </c>
      <c r="BH52" s="29">
        <v>202406.58000000002</v>
      </c>
      <c r="BI52" s="29">
        <v>0</v>
      </c>
      <c r="BJ52" s="167">
        <f t="shared" si="8"/>
        <v>134280013.94</v>
      </c>
      <c r="BK52" s="167">
        <f t="shared" si="9"/>
        <v>-126235357.43000001</v>
      </c>
      <c r="BL52" s="167">
        <f>$BO$9+SUMPRODUCT($D$10:D52,$BK$10:BK52)</f>
        <v>68442316.415896297</v>
      </c>
      <c r="BM52" s="30">
        <f t="shared" si="10"/>
        <v>4.9000000000000004</v>
      </c>
      <c r="BN52" s="167">
        <f t="shared" si="13"/>
        <v>30891398.5473</v>
      </c>
      <c r="BO52" s="168">
        <f t="shared" si="11"/>
        <v>535092746.16426003</v>
      </c>
      <c r="BP52" s="40">
        <f t="shared" si="14"/>
        <v>17554885.576595325</v>
      </c>
      <c r="BQ52" s="40">
        <f t="shared" si="15"/>
        <v>746082637.00530136</v>
      </c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25">
      <c r="A53" s="169">
        <f t="shared" si="19"/>
        <v>44</v>
      </c>
      <c r="B53" s="170">
        <f t="shared" si="19"/>
        <v>2067</v>
      </c>
      <c r="C53" s="29">
        <v>4.9000000000000004</v>
      </c>
      <c r="D53" s="167">
        <f t="shared" si="16"/>
        <v>0.12186</v>
      </c>
      <c r="E53" s="29">
        <v>142168631.31999999</v>
      </c>
      <c r="F53" s="167">
        <f t="shared" si="18"/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2888.23</v>
      </c>
      <c r="M53" s="167">
        <f t="shared" si="1"/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167">
        <f t="shared" si="2"/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167">
        <f t="shared" si="3"/>
        <v>0</v>
      </c>
      <c r="AD53" s="29">
        <v>0</v>
      </c>
      <c r="AE53" s="29">
        <v>0</v>
      </c>
      <c r="AF53" s="29">
        <v>0</v>
      </c>
      <c r="AG53" s="29">
        <v>0</v>
      </c>
      <c r="AH53" s="167">
        <f t="shared" si="4"/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7144109.0299999993</v>
      </c>
      <c r="AO53" s="29">
        <v>0</v>
      </c>
      <c r="AP53" s="29">
        <v>0</v>
      </c>
      <c r="AQ53" s="29">
        <v>0</v>
      </c>
      <c r="AR53" s="167">
        <f t="shared" si="5"/>
        <v>7146997.2599999998</v>
      </c>
      <c r="AS53" s="167">
        <f t="shared" si="6"/>
        <v>48139.12</v>
      </c>
      <c r="AT53" s="29">
        <v>0</v>
      </c>
      <c r="AU53" s="29">
        <v>0</v>
      </c>
      <c r="AV53" s="29">
        <v>0</v>
      </c>
      <c r="AW53" s="29">
        <v>48139.12</v>
      </c>
      <c r="AX53" s="29">
        <v>0</v>
      </c>
      <c r="AY53" s="29">
        <v>0</v>
      </c>
      <c r="AZ53" s="167">
        <f t="shared" si="7"/>
        <v>119252361.92</v>
      </c>
      <c r="BA53" s="29">
        <v>53595705.079999998</v>
      </c>
      <c r="BB53" s="29">
        <v>41452011.640000001</v>
      </c>
      <c r="BC53" s="29">
        <v>0</v>
      </c>
      <c r="BD53" s="29">
        <v>5164954.09</v>
      </c>
      <c r="BE53" s="29">
        <v>11012344.68</v>
      </c>
      <c r="BF53" s="29">
        <v>7843472.2799999993</v>
      </c>
      <c r="BG53" s="29">
        <v>0</v>
      </c>
      <c r="BH53" s="29">
        <v>183874.15000000002</v>
      </c>
      <c r="BI53" s="29">
        <v>0</v>
      </c>
      <c r="BJ53" s="167">
        <f t="shared" si="8"/>
        <v>119300501.04000001</v>
      </c>
      <c r="BK53" s="167">
        <f t="shared" si="9"/>
        <v>-112153503.78</v>
      </c>
      <c r="BL53" s="167">
        <f>$BO$9+SUMPRODUCT($D$10:D53,$BK$10:BK53)</f>
        <v>54775290.445265472</v>
      </c>
      <c r="BM53" s="30">
        <f t="shared" si="10"/>
        <v>4.9000000000000004</v>
      </c>
      <c r="BN53" s="167">
        <f t="shared" si="13"/>
        <v>26219544.56205</v>
      </c>
      <c r="BO53" s="168">
        <f t="shared" si="11"/>
        <v>449158786.94630998</v>
      </c>
      <c r="BP53" s="40">
        <f t="shared" si="14"/>
        <v>14867524.069802139</v>
      </c>
      <c r="BQ53" s="40">
        <f t="shared" si="15"/>
        <v>646737297.03639305</v>
      </c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25">
      <c r="A54" s="169">
        <f t="shared" si="19"/>
        <v>45</v>
      </c>
      <c r="B54" s="170">
        <f t="shared" si="19"/>
        <v>2068</v>
      </c>
      <c r="C54" s="29">
        <v>4.9000000000000004</v>
      </c>
      <c r="D54" s="167">
        <f t="shared" si="16"/>
        <v>0.11617</v>
      </c>
      <c r="E54" s="29">
        <v>128489084.73</v>
      </c>
      <c r="F54" s="167">
        <f t="shared" si="18"/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3029.75</v>
      </c>
      <c r="M54" s="167">
        <f t="shared" si="1"/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167">
        <f t="shared" si="2"/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167">
        <f t="shared" si="3"/>
        <v>0</v>
      </c>
      <c r="AD54" s="29">
        <v>0</v>
      </c>
      <c r="AE54" s="29">
        <v>0</v>
      </c>
      <c r="AF54" s="29">
        <v>0</v>
      </c>
      <c r="AG54" s="29">
        <v>0</v>
      </c>
      <c r="AH54" s="167">
        <f t="shared" si="4"/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6352076.7199999997</v>
      </c>
      <c r="AO54" s="29">
        <v>0</v>
      </c>
      <c r="AP54" s="29">
        <v>0</v>
      </c>
      <c r="AQ54" s="29">
        <v>0</v>
      </c>
      <c r="AR54" s="167">
        <f t="shared" si="5"/>
        <v>6355106.4699999997</v>
      </c>
      <c r="AS54" s="167">
        <f t="shared" si="6"/>
        <v>50496.84</v>
      </c>
      <c r="AT54" s="29">
        <v>0</v>
      </c>
      <c r="AU54" s="29">
        <v>0</v>
      </c>
      <c r="AV54" s="29">
        <v>0</v>
      </c>
      <c r="AW54" s="29">
        <v>50496.840000000004</v>
      </c>
      <c r="AX54" s="29">
        <v>0</v>
      </c>
      <c r="AY54" s="29">
        <v>0</v>
      </c>
      <c r="AZ54" s="167">
        <f t="shared" si="7"/>
        <v>106027942.38</v>
      </c>
      <c r="BA54" s="29">
        <v>46283009.43</v>
      </c>
      <c r="BB54" s="29">
        <v>38499597.259999998</v>
      </c>
      <c r="BC54" s="29">
        <v>0</v>
      </c>
      <c r="BD54" s="29">
        <v>4477989.76</v>
      </c>
      <c r="BE54" s="29">
        <v>9707474.0600000005</v>
      </c>
      <c r="BF54" s="29">
        <v>6899879.7999999998</v>
      </c>
      <c r="BG54" s="29">
        <v>0</v>
      </c>
      <c r="BH54" s="29">
        <v>159992.07</v>
      </c>
      <c r="BI54" s="29">
        <v>0</v>
      </c>
      <c r="BJ54" s="167">
        <f t="shared" si="8"/>
        <v>106078439.22</v>
      </c>
      <c r="BK54" s="167">
        <f t="shared" si="9"/>
        <v>-99723332.75</v>
      </c>
      <c r="BL54" s="167">
        <f>$BO$9+SUMPRODUCT($D$10:D54,$BK$10:BK54)</f>
        <v>43190430.879697978</v>
      </c>
      <c r="BM54" s="30">
        <f t="shared" si="10"/>
        <v>4.9000000000000004</v>
      </c>
      <c r="BN54" s="167">
        <f t="shared" si="13"/>
        <v>22008780.560369998</v>
      </c>
      <c r="BO54" s="168">
        <f t="shared" si="11"/>
        <v>371444234.75668001</v>
      </c>
      <c r="BP54" s="40">
        <f t="shared" si="14"/>
        <v>12602664.660092484</v>
      </c>
      <c r="BQ54" s="40">
        <f t="shared" si="15"/>
        <v>560818577.37411559</v>
      </c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x14ac:dyDescent="0.25">
      <c r="A55" s="169">
        <f t="shared" si="19"/>
        <v>46</v>
      </c>
      <c r="B55" s="170">
        <f t="shared" si="19"/>
        <v>2069</v>
      </c>
      <c r="C55" s="29">
        <v>4.9000000000000004</v>
      </c>
      <c r="D55" s="167">
        <f t="shared" si="16"/>
        <v>0.11074000000000001</v>
      </c>
      <c r="E55" s="29">
        <v>115510905.87</v>
      </c>
      <c r="F55" s="167">
        <f t="shared" si="18"/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3178.21</v>
      </c>
      <c r="M55" s="167">
        <f t="shared" si="1"/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167">
        <f t="shared" si="2"/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167">
        <f t="shared" si="3"/>
        <v>0</v>
      </c>
      <c r="AD55" s="29">
        <v>0</v>
      </c>
      <c r="AE55" s="29">
        <v>0</v>
      </c>
      <c r="AF55" s="29">
        <v>0</v>
      </c>
      <c r="AG55" s="29">
        <v>0</v>
      </c>
      <c r="AH55" s="167">
        <f t="shared" si="4"/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5589455.1399999997</v>
      </c>
      <c r="AO55" s="29">
        <v>0</v>
      </c>
      <c r="AP55" s="29">
        <v>0</v>
      </c>
      <c r="AQ55" s="29">
        <v>0</v>
      </c>
      <c r="AR55" s="167">
        <f t="shared" si="5"/>
        <v>5592633.3499999996</v>
      </c>
      <c r="AS55" s="167">
        <f t="shared" si="6"/>
        <v>52973.13</v>
      </c>
      <c r="AT55" s="29">
        <v>0</v>
      </c>
      <c r="AU55" s="29">
        <v>0</v>
      </c>
      <c r="AV55" s="29">
        <v>0</v>
      </c>
      <c r="AW55" s="29">
        <v>52973.130000000005</v>
      </c>
      <c r="AX55" s="29">
        <v>0</v>
      </c>
      <c r="AY55" s="29">
        <v>0</v>
      </c>
      <c r="AZ55" s="167">
        <f t="shared" si="7"/>
        <v>93294508.200000003</v>
      </c>
      <c r="BA55" s="29">
        <v>40865405.799999997</v>
      </c>
      <c r="BB55" s="29">
        <v>33957666.82</v>
      </c>
      <c r="BC55" s="29">
        <v>0</v>
      </c>
      <c r="BD55" s="29">
        <v>3888980.0999999996</v>
      </c>
      <c r="BE55" s="29">
        <v>8468022.9299999997</v>
      </c>
      <c r="BF55" s="29">
        <v>5977514.6699999999</v>
      </c>
      <c r="BG55" s="29">
        <v>0</v>
      </c>
      <c r="BH55" s="29">
        <v>136917.88</v>
      </c>
      <c r="BI55" s="29">
        <v>0</v>
      </c>
      <c r="BJ55" s="167">
        <f t="shared" si="8"/>
        <v>93347481.329999998</v>
      </c>
      <c r="BK55" s="167">
        <f t="shared" si="9"/>
        <v>-87754847.980000004</v>
      </c>
      <c r="BL55" s="167">
        <f>$BO$9+SUMPRODUCT($D$10:D55,$BK$10:BK55)</f>
        <v>33472459.014392793</v>
      </c>
      <c r="BM55" s="30">
        <f t="shared" si="10"/>
        <v>4.9000000000000004</v>
      </c>
      <c r="BN55" s="167">
        <f t="shared" si="13"/>
        <v>18200767.503079999</v>
      </c>
      <c r="BO55" s="168">
        <f t="shared" si="11"/>
        <v>301890154.27976</v>
      </c>
      <c r="BP55" s="40">
        <f t="shared" si="14"/>
        <v>10572566.377516767</v>
      </c>
      <c r="BQ55" s="40">
        <f t="shared" si="15"/>
        <v>481051770.17701292</v>
      </c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x14ac:dyDescent="0.25">
      <c r="A56" s="169">
        <f t="shared" si="19"/>
        <v>47</v>
      </c>
      <c r="B56" s="170">
        <f t="shared" si="19"/>
        <v>2070</v>
      </c>
      <c r="C56" s="29">
        <v>4.9000000000000004</v>
      </c>
      <c r="D56" s="167">
        <f t="shared" si="16"/>
        <v>0.10557</v>
      </c>
      <c r="E56" s="29">
        <v>104070016.43000001</v>
      </c>
      <c r="F56" s="167">
        <f t="shared" si="18"/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3333.94</v>
      </c>
      <c r="M56" s="167">
        <f t="shared" si="1"/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167">
        <f t="shared" si="2"/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167">
        <f t="shared" si="3"/>
        <v>0</v>
      </c>
      <c r="AD56" s="29">
        <v>0</v>
      </c>
      <c r="AE56" s="29">
        <v>0</v>
      </c>
      <c r="AF56" s="29">
        <v>0</v>
      </c>
      <c r="AG56" s="29">
        <v>0</v>
      </c>
      <c r="AH56" s="167">
        <f t="shared" si="4"/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4931540.87</v>
      </c>
      <c r="AO56" s="29">
        <v>0</v>
      </c>
      <c r="AP56" s="29">
        <v>0</v>
      </c>
      <c r="AQ56" s="29">
        <v>0</v>
      </c>
      <c r="AR56" s="167">
        <f t="shared" si="5"/>
        <v>4934874.8099999996</v>
      </c>
      <c r="AS56" s="167">
        <f t="shared" si="6"/>
        <v>55566.67</v>
      </c>
      <c r="AT56" s="29">
        <v>0</v>
      </c>
      <c r="AU56" s="29">
        <v>0</v>
      </c>
      <c r="AV56" s="29">
        <v>0</v>
      </c>
      <c r="AW56" s="29">
        <v>55566.670000000006</v>
      </c>
      <c r="AX56" s="29">
        <v>0</v>
      </c>
      <c r="AY56" s="29">
        <v>0</v>
      </c>
      <c r="AZ56" s="167">
        <f t="shared" si="7"/>
        <v>82299604.950000003</v>
      </c>
      <c r="BA56" s="29">
        <v>36631972.460000001</v>
      </c>
      <c r="BB56" s="29">
        <v>29436231.920000002</v>
      </c>
      <c r="BC56" s="29">
        <v>0</v>
      </c>
      <c r="BD56" s="29">
        <v>3448722.1199999996</v>
      </c>
      <c r="BE56" s="29">
        <v>7485048.3999999994</v>
      </c>
      <c r="BF56" s="29">
        <v>5190373.49</v>
      </c>
      <c r="BG56" s="29">
        <v>0</v>
      </c>
      <c r="BH56" s="29">
        <v>107256.56</v>
      </c>
      <c r="BI56" s="29">
        <v>0</v>
      </c>
      <c r="BJ56" s="167">
        <f t="shared" si="8"/>
        <v>82355171.620000005</v>
      </c>
      <c r="BK56" s="167">
        <f t="shared" si="9"/>
        <v>-77420296.810000002</v>
      </c>
      <c r="BL56" s="167">
        <f>$BO$9+SUMPRODUCT($D$10:D56,$BK$10:BK56)</f>
        <v>25299198.280161083</v>
      </c>
      <c r="BM56" s="30">
        <f t="shared" si="10"/>
        <v>4.9000000000000004</v>
      </c>
      <c r="BN56" s="167">
        <f t="shared" si="13"/>
        <v>14792617.55971</v>
      </c>
      <c r="BO56" s="168">
        <f t="shared" si="11"/>
        <v>239262475.02947</v>
      </c>
      <c r="BP56" s="40">
        <f t="shared" si="14"/>
        <v>8893335.9157073516</v>
      </c>
      <c r="BQ56" s="40">
        <f t="shared" si="15"/>
        <v>413540120.08039182</v>
      </c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25">
      <c r="A57" s="169">
        <f t="shared" si="19"/>
        <v>48</v>
      </c>
      <c r="B57" s="170">
        <f t="shared" si="19"/>
        <v>2071</v>
      </c>
      <c r="C57" s="29">
        <v>4.9000000000000004</v>
      </c>
      <c r="D57" s="167">
        <f t="shared" si="16"/>
        <v>0.10063999999999999</v>
      </c>
      <c r="E57" s="29">
        <v>88099684.480000004</v>
      </c>
      <c r="F57" s="167">
        <f t="shared" si="18"/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167">
        <f t="shared" si="1"/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167">
        <f t="shared" si="2"/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167">
        <f t="shared" si="3"/>
        <v>0</v>
      </c>
      <c r="AD57" s="29">
        <v>0</v>
      </c>
      <c r="AE57" s="29">
        <v>0</v>
      </c>
      <c r="AF57" s="29">
        <v>0</v>
      </c>
      <c r="AG57" s="29">
        <v>0</v>
      </c>
      <c r="AH57" s="167">
        <f t="shared" si="4"/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4107549.9099999997</v>
      </c>
      <c r="AO57" s="29">
        <v>0</v>
      </c>
      <c r="AP57" s="29">
        <v>0</v>
      </c>
      <c r="AQ57" s="29">
        <v>0</v>
      </c>
      <c r="AR57" s="167">
        <f t="shared" si="5"/>
        <v>4107549.91</v>
      </c>
      <c r="AS57" s="167">
        <f t="shared" si="6"/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167">
        <f t="shared" si="7"/>
        <v>68544454.650000006</v>
      </c>
      <c r="BA57" s="29">
        <v>29476848.470000003</v>
      </c>
      <c r="BB57" s="29">
        <v>25599269.580000002</v>
      </c>
      <c r="BC57" s="29">
        <v>0</v>
      </c>
      <c r="BD57" s="29">
        <v>2838030.9699999997</v>
      </c>
      <c r="BE57" s="29">
        <v>6261741.0199999996</v>
      </c>
      <c r="BF57" s="29">
        <v>4283278.67</v>
      </c>
      <c r="BG57" s="29">
        <v>0</v>
      </c>
      <c r="BH57" s="29">
        <v>85285.939999999988</v>
      </c>
      <c r="BI57" s="29">
        <v>0</v>
      </c>
      <c r="BJ57" s="167">
        <f t="shared" si="8"/>
        <v>68544454.650000006</v>
      </c>
      <c r="BK57" s="167">
        <f t="shared" si="9"/>
        <v>-64436904.740000002</v>
      </c>
      <c r="BL57" s="167">
        <f>$BO$9+SUMPRODUCT($D$10:D57,$BK$10:BK57)</f>
        <v>18814268.187127471</v>
      </c>
      <c r="BM57" s="30">
        <f t="shared" si="10"/>
        <v>4.9000000000000004</v>
      </c>
      <c r="BN57" s="167">
        <f t="shared" si="13"/>
        <v>11723861.27644</v>
      </c>
      <c r="BO57" s="168">
        <f t="shared" si="11"/>
        <v>186549431.56591001</v>
      </c>
      <c r="BP57" s="40">
        <f t="shared" si="14"/>
        <v>7056607.0145583749</v>
      </c>
      <c r="BQ57" s="40">
        <f t="shared" si="15"/>
        <v>335188833.19152284</v>
      </c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x14ac:dyDescent="0.25">
      <c r="A58" s="169">
        <f t="shared" si="19"/>
        <v>49</v>
      </c>
      <c r="B58" s="170">
        <f t="shared" si="19"/>
        <v>2072</v>
      </c>
      <c r="C58" s="29">
        <v>4.9000000000000004</v>
      </c>
      <c r="D58" s="167">
        <f t="shared" si="16"/>
        <v>9.5939999999999998E-2</v>
      </c>
      <c r="E58" s="29">
        <v>73332505.230000004</v>
      </c>
      <c r="F58" s="167">
        <f t="shared" si="18"/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167">
        <f t="shared" si="1"/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167">
        <f t="shared" si="2"/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167">
        <f t="shared" si="3"/>
        <v>0</v>
      </c>
      <c r="AD58" s="29">
        <v>0</v>
      </c>
      <c r="AE58" s="29">
        <v>0</v>
      </c>
      <c r="AF58" s="29">
        <v>0</v>
      </c>
      <c r="AG58" s="29">
        <v>0</v>
      </c>
      <c r="AH58" s="167">
        <f t="shared" si="4"/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3342148.73</v>
      </c>
      <c r="AO58" s="29">
        <v>0</v>
      </c>
      <c r="AP58" s="29">
        <v>0</v>
      </c>
      <c r="AQ58" s="29">
        <v>0</v>
      </c>
      <c r="AR58" s="167">
        <f t="shared" si="5"/>
        <v>3342148.73</v>
      </c>
      <c r="AS58" s="167">
        <f t="shared" si="6"/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167">
        <f t="shared" si="7"/>
        <v>55770504.079999998</v>
      </c>
      <c r="BA58" s="29">
        <v>23747591.330000002</v>
      </c>
      <c r="BB58" s="29">
        <v>21068498.34</v>
      </c>
      <c r="BC58" s="29">
        <v>0</v>
      </c>
      <c r="BD58" s="29">
        <v>2311866.6799999997</v>
      </c>
      <c r="BE58" s="29">
        <v>5152719.72</v>
      </c>
      <c r="BF58" s="29">
        <v>3421811.09</v>
      </c>
      <c r="BG58" s="29">
        <v>0</v>
      </c>
      <c r="BH58" s="29">
        <v>68016.92</v>
      </c>
      <c r="BI58" s="29">
        <v>0</v>
      </c>
      <c r="BJ58" s="167">
        <f t="shared" si="8"/>
        <v>55770504.079999998</v>
      </c>
      <c r="BK58" s="167">
        <f t="shared" si="9"/>
        <v>-52428355.350000001</v>
      </c>
      <c r="BL58" s="167">
        <f>$BO$9+SUMPRODUCT($D$10:D58,$BK$10:BK58)</f>
        <v>13784291.774848461</v>
      </c>
      <c r="BM58" s="30">
        <f t="shared" si="10"/>
        <v>4.9000000000000004</v>
      </c>
      <c r="BN58" s="167">
        <f t="shared" si="13"/>
        <v>9140922.1467300002</v>
      </c>
      <c r="BO58" s="168">
        <f t="shared" si="11"/>
        <v>143261998.36263999</v>
      </c>
      <c r="BP58" s="40">
        <f t="shared" si="14"/>
        <v>5473478.4156776853</v>
      </c>
      <c r="BQ58" s="40">
        <f t="shared" si="15"/>
        <v>265463703.16036773</v>
      </c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x14ac:dyDescent="0.25">
      <c r="A59" s="169">
        <f t="shared" ref="A59:B74" si="20">A58+1</f>
        <v>50</v>
      </c>
      <c r="B59" s="170">
        <f t="shared" si="20"/>
        <v>2073</v>
      </c>
      <c r="C59" s="29">
        <v>4.9000000000000004</v>
      </c>
      <c r="D59" s="167">
        <f t="shared" si="16"/>
        <v>9.146E-2</v>
      </c>
      <c r="E59" s="29">
        <v>58190988.089999996</v>
      </c>
      <c r="F59" s="167">
        <f t="shared" si="18"/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167">
        <f t="shared" si="1"/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167">
        <f t="shared" si="2"/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167">
        <f t="shared" si="3"/>
        <v>0</v>
      </c>
      <c r="AD59" s="29">
        <v>0</v>
      </c>
      <c r="AE59" s="29">
        <v>0</v>
      </c>
      <c r="AF59" s="29">
        <v>0</v>
      </c>
      <c r="AG59" s="29">
        <v>0</v>
      </c>
      <c r="AH59" s="167">
        <f t="shared" si="4"/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2584450.19</v>
      </c>
      <c r="AO59" s="29">
        <v>0</v>
      </c>
      <c r="AP59" s="29">
        <v>0</v>
      </c>
      <c r="AQ59" s="29">
        <v>0</v>
      </c>
      <c r="AR59" s="167">
        <f t="shared" si="5"/>
        <v>2584450.19</v>
      </c>
      <c r="AS59" s="167">
        <f t="shared" si="6"/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167">
        <f t="shared" si="7"/>
        <v>43135691.609999999</v>
      </c>
      <c r="BA59" s="29">
        <v>18370923.600000001</v>
      </c>
      <c r="BB59" s="29">
        <v>16263333.109999999</v>
      </c>
      <c r="BC59" s="29">
        <v>0</v>
      </c>
      <c r="BD59" s="29">
        <v>1798641.43</v>
      </c>
      <c r="BE59" s="29">
        <v>4045968.7199999997</v>
      </c>
      <c r="BF59" s="29">
        <v>2595296.9899999998</v>
      </c>
      <c r="BG59" s="29">
        <v>0</v>
      </c>
      <c r="BH59" s="29">
        <v>61527.76</v>
      </c>
      <c r="BI59" s="29">
        <v>0</v>
      </c>
      <c r="BJ59" s="167">
        <f t="shared" si="8"/>
        <v>43135691.609999999</v>
      </c>
      <c r="BK59" s="167">
        <f t="shared" si="9"/>
        <v>-40551241.420000002</v>
      </c>
      <c r="BL59" s="167">
        <f>$BO$9+SUMPRODUCT($D$10:D59,$BK$10:BK59)</f>
        <v>10075475.234575272</v>
      </c>
      <c r="BM59" s="30">
        <f t="shared" si="10"/>
        <v>4.9000000000000004</v>
      </c>
      <c r="BN59" s="167">
        <f t="shared" si="13"/>
        <v>7019837.9197699996</v>
      </c>
      <c r="BO59" s="168">
        <f t="shared" si="11"/>
        <v>109730594.86240999</v>
      </c>
      <c r="BP59" s="40">
        <f t="shared" si="14"/>
        <v>4034875.9781561033</v>
      </c>
      <c r="BQ59" s="40">
        <f t="shared" si="15"/>
        <v>199726360.9187271</v>
      </c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x14ac:dyDescent="0.25">
      <c r="A60" s="169">
        <f t="shared" si="20"/>
        <v>51</v>
      </c>
      <c r="B60" s="170">
        <f t="shared" si="20"/>
        <v>2074</v>
      </c>
      <c r="C60" s="29">
        <v>4.9000000000000004</v>
      </c>
      <c r="D60" s="167">
        <f t="shared" si="16"/>
        <v>8.7190000000000004E-2</v>
      </c>
      <c r="E60" s="29">
        <v>48872031.439999998</v>
      </c>
      <c r="F60" s="167">
        <f t="shared" si="18"/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167">
        <f t="shared" si="1"/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167">
        <f t="shared" si="2"/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167">
        <f t="shared" si="3"/>
        <v>0</v>
      </c>
      <c r="AD60" s="29">
        <v>0</v>
      </c>
      <c r="AE60" s="29">
        <v>0</v>
      </c>
      <c r="AF60" s="29">
        <v>0</v>
      </c>
      <c r="AG60" s="29">
        <v>0</v>
      </c>
      <c r="AH60" s="167">
        <f t="shared" si="4"/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2134001.61</v>
      </c>
      <c r="AO60" s="29">
        <v>0</v>
      </c>
      <c r="AP60" s="29">
        <v>0</v>
      </c>
      <c r="AQ60" s="29">
        <v>0</v>
      </c>
      <c r="AR60" s="167">
        <f t="shared" si="5"/>
        <v>2134001.61</v>
      </c>
      <c r="AS60" s="167">
        <f t="shared" si="6"/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167">
        <f t="shared" si="7"/>
        <v>35611071.890000001</v>
      </c>
      <c r="BA60" s="29">
        <v>14770597.1</v>
      </c>
      <c r="BB60" s="29">
        <v>13948116.209999999</v>
      </c>
      <c r="BC60" s="29">
        <v>0</v>
      </c>
      <c r="BD60" s="29">
        <v>1471657.23</v>
      </c>
      <c r="BE60" s="29">
        <v>3270989.9</v>
      </c>
      <c r="BF60" s="29">
        <v>2105325.98</v>
      </c>
      <c r="BG60" s="29">
        <v>0</v>
      </c>
      <c r="BH60" s="29">
        <v>44385.47</v>
      </c>
      <c r="BI60" s="29">
        <v>0</v>
      </c>
      <c r="BJ60" s="167">
        <f t="shared" si="8"/>
        <v>35611071.890000001</v>
      </c>
      <c r="BK60" s="167">
        <f t="shared" si="9"/>
        <v>-33477070.280000001</v>
      </c>
      <c r="BL60" s="167">
        <f>$BO$9+SUMPRODUCT($D$10:D60,$BK$10:BK60)</f>
        <v>7156609.4768620729</v>
      </c>
      <c r="BM60" s="30">
        <f t="shared" si="10"/>
        <v>4.9000000000000004</v>
      </c>
      <c r="BN60" s="167">
        <f t="shared" si="13"/>
        <v>5376799.1482600002</v>
      </c>
      <c r="BO60" s="168">
        <f t="shared" si="11"/>
        <v>81630323.730670005</v>
      </c>
      <c r="BP60" s="40">
        <f t="shared" si="14"/>
        <v>3176005.5460262811</v>
      </c>
      <c r="BQ60" s="40">
        <f t="shared" si="15"/>
        <v>160388280.0743272</v>
      </c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x14ac:dyDescent="0.25">
      <c r="A61" s="169">
        <f t="shared" si="20"/>
        <v>52</v>
      </c>
      <c r="B61" s="170">
        <f t="shared" si="20"/>
        <v>2075</v>
      </c>
      <c r="C61" s="29">
        <v>4.9000000000000004</v>
      </c>
      <c r="D61" s="167">
        <f t="shared" si="16"/>
        <v>8.3119999999999999E-2</v>
      </c>
      <c r="E61" s="29">
        <v>40469191.979999997</v>
      </c>
      <c r="F61" s="167">
        <f t="shared" si="18"/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167">
        <f t="shared" si="1"/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167">
        <f t="shared" si="2"/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167">
        <f t="shared" si="3"/>
        <v>0</v>
      </c>
      <c r="AD61" s="29">
        <v>0</v>
      </c>
      <c r="AE61" s="29">
        <v>0</v>
      </c>
      <c r="AF61" s="29">
        <v>0</v>
      </c>
      <c r="AG61" s="29">
        <v>0</v>
      </c>
      <c r="AH61" s="167">
        <f t="shared" si="4"/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1725372.51</v>
      </c>
      <c r="AO61" s="29">
        <v>0</v>
      </c>
      <c r="AP61" s="29">
        <v>0</v>
      </c>
      <c r="AQ61" s="29">
        <v>0</v>
      </c>
      <c r="AR61" s="167">
        <f t="shared" si="5"/>
        <v>1725372.51</v>
      </c>
      <c r="AS61" s="167">
        <f t="shared" si="6"/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167">
        <f t="shared" si="7"/>
        <v>28790006.620000001</v>
      </c>
      <c r="BA61" s="29">
        <v>12714214.51</v>
      </c>
      <c r="BB61" s="29">
        <v>10458971.890000001</v>
      </c>
      <c r="BC61" s="29">
        <v>0</v>
      </c>
      <c r="BD61" s="29">
        <v>1211609.23</v>
      </c>
      <c r="BE61" s="29">
        <v>2695954</v>
      </c>
      <c r="BF61" s="29">
        <v>1675461.82</v>
      </c>
      <c r="BG61" s="29">
        <v>0</v>
      </c>
      <c r="BH61" s="29">
        <v>33795.170000000006</v>
      </c>
      <c r="BI61" s="29">
        <v>0</v>
      </c>
      <c r="BJ61" s="167">
        <f t="shared" si="8"/>
        <v>28790006.620000001</v>
      </c>
      <c r="BK61" s="167">
        <f t="shared" si="9"/>
        <v>-27064634.109999999</v>
      </c>
      <c r="BL61" s="167">
        <f>$BO$9+SUMPRODUCT($D$10:D61,$BK$10:BK61)</f>
        <v>4906997.0896388292</v>
      </c>
      <c r="BM61" s="30">
        <f t="shared" si="10"/>
        <v>4.9000000000000004</v>
      </c>
      <c r="BN61" s="167">
        <f t="shared" si="13"/>
        <v>3999885.8627999998</v>
      </c>
      <c r="BO61" s="168">
        <f t="shared" si="11"/>
        <v>58565575.48347</v>
      </c>
      <c r="BP61" s="40">
        <f t="shared" si="14"/>
        <v>2447901.9959471379</v>
      </c>
      <c r="BQ61" s="40">
        <f t="shared" si="15"/>
        <v>126066952.7912776</v>
      </c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x14ac:dyDescent="0.25">
      <c r="A62" s="169">
        <f t="shared" si="20"/>
        <v>53</v>
      </c>
      <c r="B62" s="170">
        <f t="shared" si="20"/>
        <v>2076</v>
      </c>
      <c r="C62" s="29">
        <v>4.9000000000000004</v>
      </c>
      <c r="D62" s="167">
        <f t="shared" si="16"/>
        <v>7.9240000000000005E-2</v>
      </c>
      <c r="E62" s="29">
        <v>31437066.130000003</v>
      </c>
      <c r="F62" s="167">
        <f t="shared" si="18"/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167">
        <f t="shared" si="1"/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167">
        <f t="shared" si="2"/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167">
        <f t="shared" si="3"/>
        <v>0</v>
      </c>
      <c r="AD62" s="29">
        <v>0</v>
      </c>
      <c r="AE62" s="29">
        <v>0</v>
      </c>
      <c r="AF62" s="29">
        <v>0</v>
      </c>
      <c r="AG62" s="29">
        <v>0</v>
      </c>
      <c r="AH62" s="167">
        <f t="shared" si="4"/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1319630.93</v>
      </c>
      <c r="AO62" s="29">
        <v>0</v>
      </c>
      <c r="AP62" s="29">
        <v>0</v>
      </c>
      <c r="AQ62" s="29">
        <v>0</v>
      </c>
      <c r="AR62" s="167">
        <f t="shared" si="5"/>
        <v>1319630.93</v>
      </c>
      <c r="AS62" s="167">
        <f t="shared" si="6"/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167">
        <f t="shared" si="7"/>
        <v>22016885.059999999</v>
      </c>
      <c r="BA62" s="29">
        <v>9375128.6199999992</v>
      </c>
      <c r="BB62" s="29">
        <v>8424018.5199999996</v>
      </c>
      <c r="BC62" s="29">
        <v>0</v>
      </c>
      <c r="BD62" s="29">
        <v>911343.02</v>
      </c>
      <c r="BE62" s="29">
        <v>2025138.1300000001</v>
      </c>
      <c r="BF62" s="29">
        <v>1258224.45</v>
      </c>
      <c r="BG62" s="29">
        <v>0</v>
      </c>
      <c r="BH62" s="29">
        <v>23032.32</v>
      </c>
      <c r="BI62" s="29">
        <v>0</v>
      </c>
      <c r="BJ62" s="167">
        <f t="shared" si="8"/>
        <v>22016885.059999999</v>
      </c>
      <c r="BK62" s="167">
        <f t="shared" si="9"/>
        <v>-20697254.129999999</v>
      </c>
      <c r="BL62" s="167">
        <f>$BO$9+SUMPRODUCT($D$10:D62,$BK$10:BK62)</f>
        <v>3266946.6723775864</v>
      </c>
      <c r="BM62" s="30">
        <f t="shared" si="10"/>
        <v>4.9000000000000004</v>
      </c>
      <c r="BN62" s="167">
        <f t="shared" si="13"/>
        <v>2869713.19869</v>
      </c>
      <c r="BO62" s="168">
        <f t="shared" si="11"/>
        <v>40738034.552160002</v>
      </c>
      <c r="BP62" s="40">
        <f t="shared" si="14"/>
        <v>1784794.3511603822</v>
      </c>
      <c r="BQ62" s="40">
        <f t="shared" si="15"/>
        <v>93701703.43592006</v>
      </c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x14ac:dyDescent="0.25">
      <c r="A63" s="169">
        <f t="shared" si="20"/>
        <v>54</v>
      </c>
      <c r="B63" s="170">
        <f t="shared" si="20"/>
        <v>2077</v>
      </c>
      <c r="C63" s="29">
        <v>4.9000000000000004</v>
      </c>
      <c r="D63" s="167">
        <f t="shared" si="16"/>
        <v>7.5539999999999996E-2</v>
      </c>
      <c r="E63" s="29">
        <v>24248315.810000002</v>
      </c>
      <c r="F63" s="167">
        <f t="shared" si="18"/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167">
        <f t="shared" si="1"/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167">
        <f t="shared" si="2"/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167">
        <f t="shared" si="3"/>
        <v>0</v>
      </c>
      <c r="AD63" s="29">
        <v>0</v>
      </c>
      <c r="AE63" s="29">
        <v>0</v>
      </c>
      <c r="AF63" s="29">
        <v>0</v>
      </c>
      <c r="AG63" s="29">
        <v>0</v>
      </c>
      <c r="AH63" s="167">
        <f t="shared" si="4"/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1009182.95</v>
      </c>
      <c r="AO63" s="29">
        <v>0</v>
      </c>
      <c r="AP63" s="29">
        <v>0</v>
      </c>
      <c r="AQ63" s="29">
        <v>0</v>
      </c>
      <c r="AR63" s="167">
        <f t="shared" si="5"/>
        <v>1009182.95</v>
      </c>
      <c r="AS63" s="167">
        <f t="shared" si="6"/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167">
        <f t="shared" si="7"/>
        <v>16834357.18</v>
      </c>
      <c r="BA63" s="29">
        <v>6738153.5999999996</v>
      </c>
      <c r="BB63" s="29">
        <v>6932964.7299999995</v>
      </c>
      <c r="BC63" s="29">
        <v>0</v>
      </c>
      <c r="BD63" s="29">
        <v>680094.55</v>
      </c>
      <c r="BE63" s="29">
        <v>1523134.31</v>
      </c>
      <c r="BF63" s="29">
        <v>945368.28</v>
      </c>
      <c r="BG63" s="29">
        <v>0</v>
      </c>
      <c r="BH63" s="29">
        <v>14641.710000000001</v>
      </c>
      <c r="BI63" s="29">
        <v>0</v>
      </c>
      <c r="BJ63" s="167">
        <f t="shared" si="8"/>
        <v>16834357.18</v>
      </c>
      <c r="BK63" s="167">
        <f t="shared" si="9"/>
        <v>-15825174.23</v>
      </c>
      <c r="BL63" s="167">
        <f>$BO$9+SUMPRODUCT($D$10:D63,$BK$10:BK63)</f>
        <v>2071513.0110434294</v>
      </c>
      <c r="BM63" s="30">
        <f t="shared" si="10"/>
        <v>4.9000000000000004</v>
      </c>
      <c r="BN63" s="167">
        <f t="shared" si="13"/>
        <v>1996163.69306</v>
      </c>
      <c r="BO63" s="168">
        <f t="shared" si="11"/>
        <v>26909024.015220001</v>
      </c>
      <c r="BP63" s="40">
        <f t="shared" si="14"/>
        <v>1301157.9705601851</v>
      </c>
      <c r="BQ63" s="40">
        <f t="shared" si="15"/>
        <v>69611951.424969912</v>
      </c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x14ac:dyDescent="0.25">
      <c r="A64" s="169">
        <f t="shared" si="20"/>
        <v>55</v>
      </c>
      <c r="B64" s="170">
        <f t="shared" si="20"/>
        <v>2078</v>
      </c>
      <c r="C64" s="29">
        <v>4.9000000000000004</v>
      </c>
      <c r="D64" s="167">
        <f t="shared" si="16"/>
        <v>7.2010000000000005E-2</v>
      </c>
      <c r="E64" s="29">
        <v>18156870.420000002</v>
      </c>
      <c r="F64" s="167">
        <f t="shared" si="18"/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167">
        <f t="shared" si="1"/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167">
        <f t="shared" si="2"/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167">
        <f t="shared" si="3"/>
        <v>0</v>
      </c>
      <c r="AD64" s="29">
        <v>0</v>
      </c>
      <c r="AE64" s="29">
        <v>0</v>
      </c>
      <c r="AF64" s="29">
        <v>0</v>
      </c>
      <c r="AG64" s="29">
        <v>0</v>
      </c>
      <c r="AH64" s="167">
        <f t="shared" si="4"/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741028.82000000007</v>
      </c>
      <c r="AO64" s="29">
        <v>0</v>
      </c>
      <c r="AP64" s="29">
        <v>0</v>
      </c>
      <c r="AQ64" s="29">
        <v>0</v>
      </c>
      <c r="AR64" s="167">
        <f t="shared" si="5"/>
        <v>741028.82</v>
      </c>
      <c r="AS64" s="167">
        <f t="shared" si="6"/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167">
        <f t="shared" si="7"/>
        <v>12359586.210000001</v>
      </c>
      <c r="BA64" s="29">
        <v>4889397.37</v>
      </c>
      <c r="BB64" s="29">
        <v>5146571.13</v>
      </c>
      <c r="BC64" s="29">
        <v>0</v>
      </c>
      <c r="BD64" s="29">
        <v>501550.2</v>
      </c>
      <c r="BE64" s="29">
        <v>1127298.3400000001</v>
      </c>
      <c r="BF64" s="29">
        <v>685658.94000000006</v>
      </c>
      <c r="BG64" s="29">
        <v>0</v>
      </c>
      <c r="BH64" s="29">
        <v>9110.23</v>
      </c>
      <c r="BI64" s="29">
        <v>0</v>
      </c>
      <c r="BJ64" s="167">
        <f t="shared" si="8"/>
        <v>12359586.210000001</v>
      </c>
      <c r="BK64" s="167">
        <f t="shared" si="9"/>
        <v>-11618557.390000001</v>
      </c>
      <c r="BL64" s="167">
        <f>$BO$9+SUMPRODUCT($D$10:D64,$BK$10:BK64)</f>
        <v>1234860.693389535</v>
      </c>
      <c r="BM64" s="30">
        <f t="shared" si="10"/>
        <v>4.9000000000000004</v>
      </c>
      <c r="BN64" s="167">
        <f t="shared" si="13"/>
        <v>1318542.1767500001</v>
      </c>
      <c r="BO64" s="168">
        <f t="shared" si="11"/>
        <v>16609008.801969999</v>
      </c>
      <c r="BP64" s="40">
        <f t="shared" si="14"/>
        <v>910792.80010238092</v>
      </c>
      <c r="BQ64" s="40">
        <f t="shared" si="15"/>
        <v>49638207.605579764</v>
      </c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x14ac:dyDescent="0.25">
      <c r="A65" s="169">
        <f t="shared" si="20"/>
        <v>56</v>
      </c>
      <c r="B65" s="170">
        <f t="shared" si="20"/>
        <v>2079</v>
      </c>
      <c r="C65" s="29">
        <v>4.9000000000000004</v>
      </c>
      <c r="D65" s="167">
        <f t="shared" si="16"/>
        <v>6.8650000000000003E-2</v>
      </c>
      <c r="E65" s="29">
        <v>12165389.949999999</v>
      </c>
      <c r="F65" s="167">
        <f t="shared" si="18"/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167">
        <f t="shared" si="1"/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167">
        <f t="shared" si="2"/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167">
        <f t="shared" si="3"/>
        <v>0</v>
      </c>
      <c r="AD65" s="29">
        <v>0</v>
      </c>
      <c r="AE65" s="29">
        <v>0</v>
      </c>
      <c r="AF65" s="29">
        <v>0</v>
      </c>
      <c r="AG65" s="29">
        <v>0</v>
      </c>
      <c r="AH65" s="167">
        <f t="shared" si="4"/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493849.54000000004</v>
      </c>
      <c r="AO65" s="29">
        <v>0</v>
      </c>
      <c r="AP65" s="29">
        <v>0</v>
      </c>
      <c r="AQ65" s="29">
        <v>0</v>
      </c>
      <c r="AR65" s="167">
        <f t="shared" si="5"/>
        <v>493849.54</v>
      </c>
      <c r="AS65" s="167">
        <f t="shared" si="6"/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167">
        <f t="shared" si="7"/>
        <v>8235563.5800000001</v>
      </c>
      <c r="BA65" s="29">
        <v>3281845.36</v>
      </c>
      <c r="BB65" s="29">
        <v>3428572.8099999996</v>
      </c>
      <c r="BC65" s="29">
        <v>0</v>
      </c>
      <c r="BD65" s="29">
        <v>331331.02</v>
      </c>
      <c r="BE65" s="29">
        <v>746403.8</v>
      </c>
      <c r="BF65" s="29">
        <v>442668.9</v>
      </c>
      <c r="BG65" s="29">
        <v>0</v>
      </c>
      <c r="BH65" s="29">
        <v>4741.6900000000005</v>
      </c>
      <c r="BI65" s="29">
        <v>0</v>
      </c>
      <c r="BJ65" s="167">
        <f t="shared" si="8"/>
        <v>8235563.5800000001</v>
      </c>
      <c r="BK65" s="167">
        <f t="shared" si="9"/>
        <v>-7741714.04</v>
      </c>
      <c r="BL65" s="167">
        <f>$BO$9+SUMPRODUCT($D$10:D65,$BK$10:BK65)</f>
        <v>703392.02454352379</v>
      </c>
      <c r="BM65" s="30">
        <f t="shared" si="10"/>
        <v>4.9000000000000004</v>
      </c>
      <c r="BN65" s="167">
        <f t="shared" si="13"/>
        <v>813841.43130000005</v>
      </c>
      <c r="BO65" s="168">
        <f t="shared" si="11"/>
        <v>9681136.1932699997</v>
      </c>
      <c r="BP65" s="40">
        <f t="shared" si="14"/>
        <v>578633.54749727563</v>
      </c>
      <c r="BQ65" s="40">
        <f t="shared" si="15"/>
        <v>32114161.886098798</v>
      </c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x14ac:dyDescent="0.25">
      <c r="A66" s="169">
        <f t="shared" si="20"/>
        <v>57</v>
      </c>
      <c r="B66" s="170">
        <f t="shared" si="20"/>
        <v>2080</v>
      </c>
      <c r="C66" s="29">
        <v>4.9000000000000004</v>
      </c>
      <c r="D66" s="167">
        <f t="shared" si="16"/>
        <v>6.5439999999999998E-2</v>
      </c>
      <c r="E66" s="29">
        <v>8535232.0199999996</v>
      </c>
      <c r="F66" s="167">
        <f t="shared" si="18"/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167">
        <f t="shared" si="1"/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167">
        <f t="shared" si="2"/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167">
        <f t="shared" si="3"/>
        <v>0</v>
      </c>
      <c r="AD66" s="29">
        <v>0</v>
      </c>
      <c r="AE66" s="29">
        <v>0</v>
      </c>
      <c r="AF66" s="29">
        <v>0</v>
      </c>
      <c r="AG66" s="29">
        <v>0</v>
      </c>
      <c r="AH66" s="167">
        <f t="shared" si="4"/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338665.06</v>
      </c>
      <c r="AO66" s="29">
        <v>0</v>
      </c>
      <c r="AP66" s="29">
        <v>0</v>
      </c>
      <c r="AQ66" s="29">
        <v>0</v>
      </c>
      <c r="AR66" s="167">
        <f t="shared" si="5"/>
        <v>338665.06</v>
      </c>
      <c r="AS66" s="167">
        <f t="shared" si="6"/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167">
        <f t="shared" si="7"/>
        <v>5646904.9400000004</v>
      </c>
      <c r="BA66" s="29">
        <v>2522732.61</v>
      </c>
      <c r="BB66" s="29">
        <v>2058637.29</v>
      </c>
      <c r="BC66" s="29">
        <v>0</v>
      </c>
      <c r="BD66" s="29">
        <v>235639.63</v>
      </c>
      <c r="BE66" s="29">
        <v>529681.84</v>
      </c>
      <c r="BF66" s="29">
        <v>297726.21000000002</v>
      </c>
      <c r="BG66" s="29">
        <v>0</v>
      </c>
      <c r="BH66" s="29">
        <v>2487.36</v>
      </c>
      <c r="BI66" s="29">
        <v>0</v>
      </c>
      <c r="BJ66" s="167">
        <f t="shared" si="8"/>
        <v>5646904.9400000004</v>
      </c>
      <c r="BK66" s="167">
        <f t="shared" si="9"/>
        <v>-5308239.88</v>
      </c>
      <c r="BL66" s="167">
        <f>$BO$9+SUMPRODUCT($D$10:D66,$BK$10:BK66)</f>
        <v>356020.80679631233</v>
      </c>
      <c r="BM66" s="30">
        <f t="shared" si="10"/>
        <v>4.9000000000000004</v>
      </c>
      <c r="BN66" s="167">
        <f t="shared" si="13"/>
        <v>474375.67346999998</v>
      </c>
      <c r="BO66" s="168">
        <f t="shared" si="11"/>
        <v>4847271.9867399996</v>
      </c>
      <c r="BP66" s="40">
        <f t="shared" si="14"/>
        <v>378271.87566284591</v>
      </c>
      <c r="BQ66" s="40">
        <f t="shared" si="15"/>
        <v>21372360.974950794</v>
      </c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x14ac:dyDescent="0.25">
      <c r="A67" s="169">
        <f t="shared" si="20"/>
        <v>58</v>
      </c>
      <c r="B67" s="170">
        <f t="shared" si="20"/>
        <v>2081</v>
      </c>
      <c r="C67" s="29">
        <v>4.9000000000000004</v>
      </c>
      <c r="D67" s="167">
        <f t="shared" si="16"/>
        <v>6.2379999999999998E-2</v>
      </c>
      <c r="E67" s="29">
        <v>5619654.2599999998</v>
      </c>
      <c r="F67" s="167">
        <f t="shared" si="18"/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167">
        <f t="shared" si="1"/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167">
        <f t="shared" si="2"/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167">
        <f t="shared" si="3"/>
        <v>0</v>
      </c>
      <c r="AD67" s="29">
        <v>0</v>
      </c>
      <c r="AE67" s="29">
        <v>0</v>
      </c>
      <c r="AF67" s="29">
        <v>0</v>
      </c>
      <c r="AG67" s="29">
        <v>0</v>
      </c>
      <c r="AH67" s="167">
        <f t="shared" si="4"/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216527.53</v>
      </c>
      <c r="AO67" s="29">
        <v>0</v>
      </c>
      <c r="AP67" s="29">
        <v>0</v>
      </c>
      <c r="AQ67" s="29">
        <v>0</v>
      </c>
      <c r="AR67" s="167">
        <f t="shared" si="5"/>
        <v>216527.53</v>
      </c>
      <c r="AS67" s="167">
        <f t="shared" si="6"/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167">
        <f t="shared" si="7"/>
        <v>3610370.43</v>
      </c>
      <c r="BA67" s="29">
        <v>2014926.62</v>
      </c>
      <c r="BB67" s="29">
        <v>885952.53</v>
      </c>
      <c r="BC67" s="29">
        <v>0</v>
      </c>
      <c r="BD67" s="29">
        <v>161427.47</v>
      </c>
      <c r="BE67" s="29">
        <v>359867.91000000003</v>
      </c>
      <c r="BF67" s="29">
        <v>186620.57</v>
      </c>
      <c r="BG67" s="29">
        <v>0</v>
      </c>
      <c r="BH67" s="29">
        <v>1575.33</v>
      </c>
      <c r="BI67" s="29">
        <v>0</v>
      </c>
      <c r="BJ67" s="167">
        <f t="shared" si="8"/>
        <v>3610370.43</v>
      </c>
      <c r="BK67" s="167">
        <f t="shared" si="9"/>
        <v>-3393842.9</v>
      </c>
      <c r="BL67" s="167">
        <f>$BO$9+SUMPRODUCT($D$10:D67,$BK$10:BK67)</f>
        <v>144312.8866943121</v>
      </c>
      <c r="BM67" s="30">
        <f t="shared" si="10"/>
        <v>4.9000000000000004</v>
      </c>
      <c r="BN67" s="167">
        <f t="shared" si="13"/>
        <v>237516.32735000001</v>
      </c>
      <c r="BO67" s="168">
        <f t="shared" si="11"/>
        <v>1690945.4140900001</v>
      </c>
      <c r="BP67" s="40">
        <f t="shared" si="14"/>
        <v>230553.46480850389</v>
      </c>
      <c r="BQ67" s="40">
        <f t="shared" si="15"/>
        <v>13256824.226488974</v>
      </c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x14ac:dyDescent="0.25">
      <c r="A68" s="169">
        <f t="shared" si="20"/>
        <v>59</v>
      </c>
      <c r="B68" s="170">
        <f t="shared" si="20"/>
        <v>2082</v>
      </c>
      <c r="C68" s="29">
        <v>4.9000000000000004</v>
      </c>
      <c r="D68" s="167">
        <f t="shared" si="16"/>
        <v>5.9470000000000002E-2</v>
      </c>
      <c r="E68" s="29">
        <v>2846321.6799999997</v>
      </c>
      <c r="F68" s="167">
        <f t="shared" si="18"/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167">
        <f t="shared" si="1"/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167">
        <f t="shared" si="2"/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167">
        <f t="shared" si="3"/>
        <v>0</v>
      </c>
      <c r="AD68" s="29">
        <v>0</v>
      </c>
      <c r="AE68" s="29">
        <v>0</v>
      </c>
      <c r="AF68" s="29">
        <v>0</v>
      </c>
      <c r="AG68" s="29">
        <v>0</v>
      </c>
      <c r="AH68" s="167">
        <f t="shared" si="4"/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105714.37</v>
      </c>
      <c r="AO68" s="29">
        <v>0</v>
      </c>
      <c r="AP68" s="29">
        <v>0</v>
      </c>
      <c r="AQ68" s="29">
        <v>0</v>
      </c>
      <c r="AR68" s="167">
        <f t="shared" si="5"/>
        <v>105714.37</v>
      </c>
      <c r="AS68" s="167">
        <f t="shared" si="6"/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167">
        <f t="shared" si="7"/>
        <v>1762206.02</v>
      </c>
      <c r="BA68" s="29">
        <v>1193474.04</v>
      </c>
      <c r="BB68" s="29">
        <v>206754.47</v>
      </c>
      <c r="BC68" s="29">
        <v>0</v>
      </c>
      <c r="BD68" s="29">
        <v>85002.34</v>
      </c>
      <c r="BE68" s="29">
        <v>187964.1</v>
      </c>
      <c r="BF68" s="29">
        <v>88717.9</v>
      </c>
      <c r="BG68" s="29">
        <v>0</v>
      </c>
      <c r="BH68" s="29">
        <v>293.17</v>
      </c>
      <c r="BI68" s="29">
        <v>0</v>
      </c>
      <c r="BJ68" s="167">
        <f t="shared" si="8"/>
        <v>1762206.02</v>
      </c>
      <c r="BK68" s="167">
        <f t="shared" si="9"/>
        <v>-1656491.65</v>
      </c>
      <c r="BL68" s="167">
        <f>$BO$9+SUMPRODUCT($D$10:D68,$BK$10:BK68)</f>
        <v>45801.328268766403</v>
      </c>
      <c r="BM68" s="30">
        <f t="shared" si="10"/>
        <v>4.9000000000000004</v>
      </c>
      <c r="BN68" s="167">
        <f t="shared" si="13"/>
        <v>82856.325289999993</v>
      </c>
      <c r="BO68" s="168">
        <f t="shared" si="11"/>
        <v>117310.08938</v>
      </c>
      <c r="BP68" s="40">
        <f t="shared" si="14"/>
        <v>107304.60585133874</v>
      </c>
      <c r="BQ68" s="40">
        <f t="shared" si="15"/>
        <v>6277319.4423033167</v>
      </c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5">
      <c r="A69" s="169">
        <f t="shared" si="20"/>
        <v>60</v>
      </c>
      <c r="B69" s="170">
        <f t="shared" si="20"/>
        <v>2083</v>
      </c>
      <c r="C69" s="29">
        <v>4.9000000000000004</v>
      </c>
      <c r="D69" s="167">
        <f t="shared" si="16"/>
        <v>5.6689999999999997E-2</v>
      </c>
      <c r="E69" s="29">
        <v>646417.14</v>
      </c>
      <c r="F69" s="167">
        <f t="shared" si="18"/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167">
        <f t="shared" si="1"/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167">
        <f t="shared" si="2"/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167">
        <f t="shared" si="3"/>
        <v>0</v>
      </c>
      <c r="AD69" s="29">
        <v>0</v>
      </c>
      <c r="AE69" s="29">
        <v>0</v>
      </c>
      <c r="AF69" s="29">
        <v>0</v>
      </c>
      <c r="AG69" s="29">
        <v>0</v>
      </c>
      <c r="AH69" s="167">
        <f t="shared" si="4"/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23010.26</v>
      </c>
      <c r="AO69" s="29">
        <v>0</v>
      </c>
      <c r="AP69" s="29">
        <v>0</v>
      </c>
      <c r="AQ69" s="29">
        <v>0</v>
      </c>
      <c r="AR69" s="167">
        <f t="shared" si="5"/>
        <v>23010.26</v>
      </c>
      <c r="AS69" s="167">
        <f t="shared" si="6"/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167">
        <f t="shared" si="7"/>
        <v>383653.89</v>
      </c>
      <c r="BA69" s="29">
        <v>300088.28000000003</v>
      </c>
      <c r="BB69" s="29">
        <v>0</v>
      </c>
      <c r="BC69" s="29">
        <v>0</v>
      </c>
      <c r="BD69" s="29">
        <v>20413.39</v>
      </c>
      <c r="BE69" s="29">
        <v>44772.21</v>
      </c>
      <c r="BF69" s="29">
        <v>18230.64</v>
      </c>
      <c r="BG69" s="29">
        <v>0</v>
      </c>
      <c r="BH69" s="29">
        <v>149.37</v>
      </c>
      <c r="BI69" s="29">
        <v>0</v>
      </c>
      <c r="BJ69" s="167">
        <f t="shared" si="8"/>
        <v>383653.89</v>
      </c>
      <c r="BK69" s="167">
        <f t="shared" si="9"/>
        <v>-360643.63</v>
      </c>
      <c r="BL69" s="167">
        <f>$BO$9+SUMPRODUCT($D$10:D69,$BK$10:BK69)</f>
        <v>25356.440884113312</v>
      </c>
      <c r="BM69" s="30">
        <f t="shared" si="10"/>
        <v>4.9000000000000004</v>
      </c>
      <c r="BN69" s="167">
        <f t="shared" si="13"/>
        <v>5748.1943799999999</v>
      </c>
      <c r="BO69" s="168">
        <f t="shared" si="11"/>
        <v>0</v>
      </c>
      <c r="BP69" s="40">
        <f t="shared" si="14"/>
        <v>22265.319905853539</v>
      </c>
      <c r="BQ69" s="40">
        <f t="shared" si="15"/>
        <v>1324786.5343982857</v>
      </c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x14ac:dyDescent="0.25">
      <c r="A70" s="169">
        <f t="shared" si="20"/>
        <v>61</v>
      </c>
      <c r="B70" s="170">
        <f t="shared" si="20"/>
        <v>2084</v>
      </c>
      <c r="C70" s="29">
        <v>4.9000000000000004</v>
      </c>
      <c r="D70" s="167">
        <f t="shared" si="16"/>
        <v>5.4039999999999998E-2</v>
      </c>
      <c r="E70" s="29">
        <v>678116.18</v>
      </c>
      <c r="F70" s="167">
        <f t="shared" si="18"/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167">
        <f t="shared" si="1"/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167">
        <f t="shared" si="2"/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167">
        <f t="shared" si="3"/>
        <v>0</v>
      </c>
      <c r="AD70" s="29">
        <v>0</v>
      </c>
      <c r="AE70" s="29">
        <v>0</v>
      </c>
      <c r="AF70" s="29">
        <v>0</v>
      </c>
      <c r="AG70" s="29">
        <v>0</v>
      </c>
      <c r="AH70" s="167">
        <f t="shared" si="4"/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24138.859999999997</v>
      </c>
      <c r="AO70" s="29">
        <v>0</v>
      </c>
      <c r="AP70" s="29">
        <v>0</v>
      </c>
      <c r="AQ70" s="29">
        <v>0</v>
      </c>
      <c r="AR70" s="167">
        <f t="shared" si="5"/>
        <v>24138.86</v>
      </c>
      <c r="AS70" s="167">
        <f t="shared" si="6"/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167">
        <f t="shared" si="7"/>
        <v>402311.86</v>
      </c>
      <c r="BA70" s="29">
        <v>314803.83</v>
      </c>
      <c r="BB70" s="29">
        <v>0</v>
      </c>
      <c r="BC70" s="29">
        <v>0</v>
      </c>
      <c r="BD70" s="29">
        <v>21414.739999999998</v>
      </c>
      <c r="BE70" s="29">
        <v>46968.25</v>
      </c>
      <c r="BF70" s="29">
        <v>19125.039999999997</v>
      </c>
      <c r="BG70" s="29">
        <v>0</v>
      </c>
      <c r="BH70" s="29">
        <v>0</v>
      </c>
      <c r="BI70" s="29">
        <v>0</v>
      </c>
      <c r="BJ70" s="167">
        <f t="shared" si="8"/>
        <v>402311.86</v>
      </c>
      <c r="BK70" s="167">
        <f t="shared" si="9"/>
        <v>-378173</v>
      </c>
      <c r="BL70" s="167">
        <f>$BO$9+SUMPRODUCT($D$10:D70,$BK$10:BK70)</f>
        <v>4919.9719641208649</v>
      </c>
      <c r="BM70" s="30">
        <f t="shared" si="10"/>
        <v>4.9000000000000004</v>
      </c>
      <c r="BN70" s="167">
        <f t="shared" si="13"/>
        <v>0</v>
      </c>
      <c r="BO70" s="168">
        <f t="shared" si="11"/>
        <v>0</v>
      </c>
      <c r="BP70" s="40">
        <f t="shared" si="14"/>
        <v>22266.184321943969</v>
      </c>
      <c r="BQ70" s="40">
        <f t="shared" si="15"/>
        <v>1347104.1514776102</v>
      </c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x14ac:dyDescent="0.25">
      <c r="A71" s="169">
        <f t="shared" si="20"/>
        <v>62</v>
      </c>
      <c r="B71" s="170">
        <f t="shared" si="20"/>
        <v>2085</v>
      </c>
      <c r="C71" s="29">
        <v>4.9000000000000004</v>
      </c>
      <c r="D71" s="167">
        <f t="shared" si="16"/>
        <v>5.1520000000000003E-2</v>
      </c>
      <c r="E71" s="29">
        <v>177067.74000000002</v>
      </c>
      <c r="F71" s="167">
        <f t="shared" si="18"/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167">
        <f t="shared" si="1"/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167">
        <f t="shared" si="2"/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167">
        <f t="shared" si="3"/>
        <v>0</v>
      </c>
      <c r="AD71" s="29">
        <v>0</v>
      </c>
      <c r="AE71" s="29">
        <v>0</v>
      </c>
      <c r="AF71" s="29">
        <v>0</v>
      </c>
      <c r="AG71" s="29">
        <v>0</v>
      </c>
      <c r="AH71" s="167">
        <f t="shared" si="4"/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6090.55</v>
      </c>
      <c r="AO71" s="29">
        <v>0</v>
      </c>
      <c r="AP71" s="29">
        <v>0</v>
      </c>
      <c r="AQ71" s="29">
        <v>0</v>
      </c>
      <c r="AR71" s="167">
        <f t="shared" si="5"/>
        <v>6090.55</v>
      </c>
      <c r="AS71" s="167">
        <f t="shared" si="6"/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167">
        <f t="shared" si="7"/>
        <v>101511.86</v>
      </c>
      <c r="BA71" s="29">
        <v>79223.95</v>
      </c>
      <c r="BB71" s="29">
        <v>0</v>
      </c>
      <c r="BC71" s="29">
        <v>0</v>
      </c>
      <c r="BD71" s="29">
        <v>5502.4800000000005</v>
      </c>
      <c r="BE71" s="29">
        <v>12044.84</v>
      </c>
      <c r="BF71" s="29">
        <v>4740.59</v>
      </c>
      <c r="BG71" s="29">
        <v>0</v>
      </c>
      <c r="BH71" s="29">
        <v>0</v>
      </c>
      <c r="BI71" s="29">
        <v>0</v>
      </c>
      <c r="BJ71" s="167">
        <f t="shared" si="8"/>
        <v>101511.86</v>
      </c>
      <c r="BK71" s="167">
        <f t="shared" si="9"/>
        <v>-95421.31</v>
      </c>
      <c r="BL71" s="167">
        <f>$BO$9+SUMPRODUCT($D$10:D71,$BK$10:BK71)</f>
        <v>3.8660728931427002</v>
      </c>
      <c r="BM71" s="30">
        <f t="shared" si="10"/>
        <v>4.9000000000000004</v>
      </c>
      <c r="BN71" s="167">
        <f t="shared" si="13"/>
        <v>0</v>
      </c>
      <c r="BO71" s="168">
        <f t="shared" si="11"/>
        <v>0</v>
      </c>
      <c r="BP71" s="40">
        <f t="shared" si="14"/>
        <v>5355.7988974726977</v>
      </c>
      <c r="BQ71" s="40">
        <f t="shared" si="15"/>
        <v>329381.63219457091</v>
      </c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x14ac:dyDescent="0.25">
      <c r="A72" s="169">
        <f t="shared" si="20"/>
        <v>63</v>
      </c>
      <c r="B72" s="170">
        <f t="shared" si="20"/>
        <v>2086</v>
      </c>
      <c r="C72" s="29">
        <v>4.9000000000000004</v>
      </c>
      <c r="D72" s="167">
        <f t="shared" si="16"/>
        <v>4.9110000000000001E-2</v>
      </c>
      <c r="E72" s="29">
        <v>0</v>
      </c>
      <c r="F72" s="167">
        <f t="shared" si="18"/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167">
        <f t="shared" si="1"/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167">
        <f t="shared" si="2"/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167">
        <f t="shared" si="3"/>
        <v>0</v>
      </c>
      <c r="AD72" s="29">
        <v>0</v>
      </c>
      <c r="AE72" s="29">
        <v>0</v>
      </c>
      <c r="AF72" s="29">
        <v>0</v>
      </c>
      <c r="AG72" s="29">
        <v>0</v>
      </c>
      <c r="AH72" s="167">
        <f t="shared" si="4"/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167">
        <f t="shared" si="5"/>
        <v>0</v>
      </c>
      <c r="AS72" s="167">
        <f t="shared" si="6"/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167">
        <f t="shared" si="7"/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167">
        <f t="shared" si="8"/>
        <v>0</v>
      </c>
      <c r="BK72" s="167">
        <f t="shared" si="9"/>
        <v>0</v>
      </c>
      <c r="BL72" s="167">
        <f>$BO$9+SUMPRODUCT($D$10:D72,$BK$10:BK72)</f>
        <v>3.8660728931427002</v>
      </c>
      <c r="BM72" s="30">
        <f t="shared" si="10"/>
        <v>4.9000000000000004</v>
      </c>
      <c r="BN72" s="167">
        <f t="shared" si="13"/>
        <v>0</v>
      </c>
      <c r="BO72" s="168">
        <f t="shared" si="11"/>
        <v>0</v>
      </c>
      <c r="BP72" s="40">
        <f t="shared" si="14"/>
        <v>0</v>
      </c>
      <c r="BQ72" s="40">
        <f t="shared" si="15"/>
        <v>0</v>
      </c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x14ac:dyDescent="0.25">
      <c r="A73" s="169">
        <f t="shared" si="20"/>
        <v>64</v>
      </c>
      <c r="B73" s="170">
        <f t="shared" si="20"/>
        <v>2087</v>
      </c>
      <c r="C73" s="29">
        <v>4.9000000000000004</v>
      </c>
      <c r="D73" s="167">
        <f t="shared" si="16"/>
        <v>4.6820000000000001E-2</v>
      </c>
      <c r="E73" s="29">
        <v>0</v>
      </c>
      <c r="F73" s="167">
        <f t="shared" si="18"/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167">
        <f t="shared" si="1"/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167">
        <f t="shared" si="2"/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167">
        <f t="shared" si="3"/>
        <v>0</v>
      </c>
      <c r="AD73" s="29">
        <v>0</v>
      </c>
      <c r="AE73" s="29">
        <v>0</v>
      </c>
      <c r="AF73" s="29">
        <v>0</v>
      </c>
      <c r="AG73" s="29">
        <v>0</v>
      </c>
      <c r="AH73" s="167">
        <f t="shared" si="4"/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167">
        <f t="shared" si="5"/>
        <v>0</v>
      </c>
      <c r="AS73" s="167">
        <f t="shared" si="6"/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167">
        <f t="shared" si="7"/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0</v>
      </c>
      <c r="BJ73" s="167">
        <f t="shared" si="8"/>
        <v>0</v>
      </c>
      <c r="BK73" s="167">
        <f t="shared" si="9"/>
        <v>0</v>
      </c>
      <c r="BL73" s="167">
        <f>$BO$9+SUMPRODUCT($D$10:D73,$BK$10:BK73)</f>
        <v>3.8660728931427002</v>
      </c>
      <c r="BM73" s="30">
        <f t="shared" si="10"/>
        <v>4.9000000000000004</v>
      </c>
      <c r="BN73" s="167">
        <f t="shared" si="13"/>
        <v>0</v>
      </c>
      <c r="BO73" s="168">
        <f t="shared" si="11"/>
        <v>0</v>
      </c>
      <c r="BP73" s="40">
        <f t="shared" si="14"/>
        <v>0</v>
      </c>
      <c r="BQ73" s="40">
        <f t="shared" si="15"/>
        <v>0</v>
      </c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x14ac:dyDescent="0.25">
      <c r="A74" s="169">
        <f t="shared" si="20"/>
        <v>65</v>
      </c>
      <c r="B74" s="170">
        <f t="shared" si="20"/>
        <v>2088</v>
      </c>
      <c r="C74" s="29">
        <v>4.9000000000000004</v>
      </c>
      <c r="D74" s="167">
        <f t="shared" si="16"/>
        <v>4.4630000000000003E-2</v>
      </c>
      <c r="E74" s="29">
        <v>0</v>
      </c>
      <c r="F74" s="167">
        <f t="shared" si="18"/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167">
        <f t="shared" ref="M74:M137" si="21">ROUND(SUM(N74:T74),5)</f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167">
        <f t="shared" ref="U74:U137" si="22">ROUND(SUM(V74:AB74),5)</f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167">
        <f t="shared" ref="AC74:AC137" si="23">ROUND(SUM(AD74:AG74),5)</f>
        <v>0</v>
      </c>
      <c r="AD74" s="29">
        <v>0</v>
      </c>
      <c r="AE74" s="29">
        <v>0</v>
      </c>
      <c r="AF74" s="29">
        <v>0</v>
      </c>
      <c r="AG74" s="29">
        <v>0</v>
      </c>
      <c r="AH74" s="167">
        <f t="shared" ref="AH74:AH137" si="24">ROUND(SUM(AI74:AM74),5)</f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167">
        <f t="shared" ref="AR74:AR137" si="25">ROUND(F74+K74+L74+M74+U74+AC74+AH74+AN74+AO74+AP74+AQ74,5)</f>
        <v>0</v>
      </c>
      <c r="AS74" s="167">
        <f t="shared" ref="AS74:AS137" si="26">ROUND(SUM(AT74:AY74),5)</f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167">
        <f t="shared" ref="AZ74:AZ137" si="27">ROUND(SUM(BA74:BI74),5)</f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0</v>
      </c>
      <c r="BI74" s="29">
        <v>0</v>
      </c>
      <c r="BJ74" s="167">
        <f t="shared" ref="BJ74:BJ137" si="28">ROUND(AS74+AZ74,5)</f>
        <v>0</v>
      </c>
      <c r="BK74" s="167">
        <f t="shared" ref="BK74:BK137" si="29">ROUND(AR74-BJ74,5)</f>
        <v>0</v>
      </c>
      <c r="BL74" s="167">
        <f>$BO$9+SUMPRODUCT($D$10:D74,$BK$10:BK74)</f>
        <v>3.8660728931427002</v>
      </c>
      <c r="BM74" s="30">
        <f t="shared" ref="BM74:BM137" si="30">ROUND(C74,5)</f>
        <v>4.9000000000000004</v>
      </c>
      <c r="BN74" s="167">
        <f t="shared" si="13"/>
        <v>0</v>
      </c>
      <c r="BO74" s="168">
        <f t="shared" ref="BO74:BO137" si="31">IF(BO73+BK74+BN74&gt;0,ROUND(BO73+BK74+BN74,5),0)</f>
        <v>0</v>
      </c>
      <c r="BP74" s="40">
        <f t="shared" si="14"/>
        <v>0</v>
      </c>
      <c r="BQ74" s="40">
        <f t="shared" si="15"/>
        <v>0</v>
      </c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x14ac:dyDescent="0.25">
      <c r="A75" s="169">
        <f t="shared" ref="A75:B90" si="32">A74+1</f>
        <v>66</v>
      </c>
      <c r="B75" s="170">
        <f t="shared" si="32"/>
        <v>2089</v>
      </c>
      <c r="C75" s="29">
        <v>4.9000000000000004</v>
      </c>
      <c r="D75" s="167">
        <f t="shared" si="16"/>
        <v>4.2549999999999998E-2</v>
      </c>
      <c r="E75" s="29">
        <v>0</v>
      </c>
      <c r="F75" s="167">
        <f t="shared" si="18"/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167">
        <f t="shared" si="21"/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167">
        <f t="shared" si="22"/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167">
        <f t="shared" si="23"/>
        <v>0</v>
      </c>
      <c r="AD75" s="29">
        <v>0</v>
      </c>
      <c r="AE75" s="29">
        <v>0</v>
      </c>
      <c r="AF75" s="29">
        <v>0</v>
      </c>
      <c r="AG75" s="29">
        <v>0</v>
      </c>
      <c r="AH75" s="167">
        <f t="shared" si="24"/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167">
        <f t="shared" si="25"/>
        <v>0</v>
      </c>
      <c r="AS75" s="167">
        <f t="shared" si="26"/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167">
        <f t="shared" si="27"/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167">
        <f t="shared" si="28"/>
        <v>0</v>
      </c>
      <c r="BK75" s="167">
        <f t="shared" si="29"/>
        <v>0</v>
      </c>
      <c r="BL75" s="167">
        <f>$BO$9+SUMPRODUCT($D$10:D75,$BK$10:BK75)</f>
        <v>3.8660728931427002</v>
      </c>
      <c r="BM75" s="30">
        <f t="shared" si="30"/>
        <v>4.9000000000000004</v>
      </c>
      <c r="BN75" s="167">
        <f t="shared" ref="BN75:BN138" si="33">IF($A$10=0,IF(BO74+BK75&lt;0,0,ROUND(BM75/100*(BO74+BK75),5)),ROUND(BM75/100*BO74,5))</f>
        <v>0</v>
      </c>
      <c r="BO75" s="168">
        <f t="shared" si="31"/>
        <v>0</v>
      </c>
      <c r="BP75" s="40">
        <f t="shared" ref="BP75:BP138" si="34">(1/((1+$C75/100)^($A75-0.5)))*(AS75+AZ75-AY75-BH75-F75-AC75-AH75)</f>
        <v>0</v>
      </c>
      <c r="BQ75" s="40">
        <f t="shared" ref="BQ75:BQ138" si="35">$BP75*($A75-0.5)</f>
        <v>0</v>
      </c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5">
      <c r="A76" s="169">
        <f t="shared" si="32"/>
        <v>67</v>
      </c>
      <c r="B76" s="170">
        <f t="shared" si="32"/>
        <v>2090</v>
      </c>
      <c r="C76" s="29">
        <v>4.9000000000000004</v>
      </c>
      <c r="D76" s="167">
        <f t="shared" ref="D76:D139" si="36">ROUND((1+C76/100)^-1*D75,5)</f>
        <v>4.0559999999999999E-2</v>
      </c>
      <c r="E76" s="29">
        <v>0</v>
      </c>
      <c r="F76" s="167">
        <f t="shared" si="18"/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167">
        <f t="shared" si="21"/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167">
        <f t="shared" si="22"/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167">
        <f t="shared" si="23"/>
        <v>0</v>
      </c>
      <c r="AD76" s="29">
        <v>0</v>
      </c>
      <c r="AE76" s="29">
        <v>0</v>
      </c>
      <c r="AF76" s="29">
        <v>0</v>
      </c>
      <c r="AG76" s="29">
        <v>0</v>
      </c>
      <c r="AH76" s="167">
        <f t="shared" si="24"/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167">
        <f t="shared" si="25"/>
        <v>0</v>
      </c>
      <c r="AS76" s="167">
        <f t="shared" si="26"/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167">
        <f t="shared" si="27"/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167">
        <f t="shared" si="28"/>
        <v>0</v>
      </c>
      <c r="BK76" s="167">
        <f t="shared" si="29"/>
        <v>0</v>
      </c>
      <c r="BL76" s="167">
        <f>$BO$9+SUMPRODUCT($D$10:D76,$BK$10:BK76)</f>
        <v>3.8660728931427002</v>
      </c>
      <c r="BM76" s="30">
        <f t="shared" si="30"/>
        <v>4.9000000000000004</v>
      </c>
      <c r="BN76" s="167">
        <f t="shared" si="33"/>
        <v>0</v>
      </c>
      <c r="BO76" s="168">
        <f t="shared" si="31"/>
        <v>0</v>
      </c>
      <c r="BP76" s="40">
        <f t="shared" si="34"/>
        <v>0</v>
      </c>
      <c r="BQ76" s="40">
        <f t="shared" si="35"/>
        <v>0</v>
      </c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x14ac:dyDescent="0.25">
      <c r="A77" s="169">
        <f t="shared" si="32"/>
        <v>68</v>
      </c>
      <c r="B77" s="170">
        <f t="shared" si="32"/>
        <v>2091</v>
      </c>
      <c r="C77" s="29">
        <v>4.9000000000000004</v>
      </c>
      <c r="D77" s="167">
        <f t="shared" si="36"/>
        <v>3.8670000000000003E-2</v>
      </c>
      <c r="E77" s="29">
        <v>0</v>
      </c>
      <c r="F77" s="167">
        <f t="shared" si="18"/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167">
        <f t="shared" si="21"/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167">
        <f t="shared" si="22"/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167">
        <f t="shared" si="23"/>
        <v>0</v>
      </c>
      <c r="AD77" s="29">
        <v>0</v>
      </c>
      <c r="AE77" s="29">
        <v>0</v>
      </c>
      <c r="AF77" s="29">
        <v>0</v>
      </c>
      <c r="AG77" s="29">
        <v>0</v>
      </c>
      <c r="AH77" s="167">
        <f t="shared" si="24"/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167">
        <f t="shared" si="25"/>
        <v>0</v>
      </c>
      <c r="AS77" s="167">
        <f t="shared" si="26"/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167">
        <f t="shared" si="27"/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167">
        <f t="shared" si="28"/>
        <v>0</v>
      </c>
      <c r="BK77" s="167">
        <f t="shared" si="29"/>
        <v>0</v>
      </c>
      <c r="BL77" s="167">
        <f>$BO$9+SUMPRODUCT($D$10:D77,$BK$10:BK77)</f>
        <v>3.8660728931427002</v>
      </c>
      <c r="BM77" s="30">
        <f t="shared" si="30"/>
        <v>4.9000000000000004</v>
      </c>
      <c r="BN77" s="167">
        <f t="shared" si="33"/>
        <v>0</v>
      </c>
      <c r="BO77" s="168">
        <f t="shared" si="31"/>
        <v>0</v>
      </c>
      <c r="BP77" s="40">
        <f t="shared" si="34"/>
        <v>0</v>
      </c>
      <c r="BQ77" s="40">
        <f t="shared" si="35"/>
        <v>0</v>
      </c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x14ac:dyDescent="0.25">
      <c r="A78" s="169">
        <f t="shared" si="32"/>
        <v>69</v>
      </c>
      <c r="B78" s="170">
        <f t="shared" si="32"/>
        <v>2092</v>
      </c>
      <c r="C78" s="29">
        <v>4.9000000000000004</v>
      </c>
      <c r="D78" s="167">
        <f t="shared" si="36"/>
        <v>3.6859999999999997E-2</v>
      </c>
      <c r="E78" s="29">
        <v>0</v>
      </c>
      <c r="F78" s="167">
        <f t="shared" si="18"/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167">
        <f t="shared" si="21"/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167">
        <f t="shared" si="22"/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167">
        <f t="shared" si="23"/>
        <v>0</v>
      </c>
      <c r="AD78" s="29">
        <v>0</v>
      </c>
      <c r="AE78" s="29">
        <v>0</v>
      </c>
      <c r="AF78" s="29">
        <v>0</v>
      </c>
      <c r="AG78" s="29">
        <v>0</v>
      </c>
      <c r="AH78" s="167">
        <f t="shared" si="24"/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167">
        <f t="shared" si="25"/>
        <v>0</v>
      </c>
      <c r="AS78" s="167">
        <f t="shared" si="26"/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167">
        <f t="shared" si="27"/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167">
        <f t="shared" si="28"/>
        <v>0</v>
      </c>
      <c r="BK78" s="167">
        <f t="shared" si="29"/>
        <v>0</v>
      </c>
      <c r="BL78" s="167">
        <f>$BO$9+SUMPRODUCT($D$10:D78,$BK$10:BK78)</f>
        <v>3.8660728931427002</v>
      </c>
      <c r="BM78" s="30">
        <f t="shared" si="30"/>
        <v>4.9000000000000004</v>
      </c>
      <c r="BN78" s="167">
        <f t="shared" si="33"/>
        <v>0</v>
      </c>
      <c r="BO78" s="168">
        <f t="shared" si="31"/>
        <v>0</v>
      </c>
      <c r="BP78" s="40">
        <f t="shared" si="34"/>
        <v>0</v>
      </c>
      <c r="BQ78" s="40">
        <f t="shared" si="35"/>
        <v>0</v>
      </c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x14ac:dyDescent="0.25">
      <c r="A79" s="169">
        <f t="shared" si="32"/>
        <v>70</v>
      </c>
      <c r="B79" s="170">
        <f t="shared" si="32"/>
        <v>2093</v>
      </c>
      <c r="C79" s="29">
        <v>4.9000000000000004</v>
      </c>
      <c r="D79" s="167">
        <f t="shared" si="36"/>
        <v>3.5139999999999998E-2</v>
      </c>
      <c r="E79" s="29">
        <v>0</v>
      </c>
      <c r="F79" s="167">
        <f t="shared" si="18"/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167">
        <f t="shared" si="21"/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167">
        <f t="shared" si="22"/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167">
        <f t="shared" si="23"/>
        <v>0</v>
      </c>
      <c r="AD79" s="29">
        <v>0</v>
      </c>
      <c r="AE79" s="29">
        <v>0</v>
      </c>
      <c r="AF79" s="29">
        <v>0</v>
      </c>
      <c r="AG79" s="29">
        <v>0</v>
      </c>
      <c r="AH79" s="167">
        <f t="shared" si="24"/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167">
        <f t="shared" si="25"/>
        <v>0</v>
      </c>
      <c r="AS79" s="167">
        <f t="shared" si="26"/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167">
        <f t="shared" si="27"/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167">
        <f t="shared" si="28"/>
        <v>0</v>
      </c>
      <c r="BK79" s="167">
        <f t="shared" si="29"/>
        <v>0</v>
      </c>
      <c r="BL79" s="167">
        <f>$BO$9+SUMPRODUCT($D$10:D79,$BK$10:BK79)</f>
        <v>3.8660728931427002</v>
      </c>
      <c r="BM79" s="30">
        <f t="shared" si="30"/>
        <v>4.9000000000000004</v>
      </c>
      <c r="BN79" s="167">
        <f t="shared" si="33"/>
        <v>0</v>
      </c>
      <c r="BO79" s="168">
        <f t="shared" si="31"/>
        <v>0</v>
      </c>
      <c r="BP79" s="40">
        <f t="shared" si="34"/>
        <v>0</v>
      </c>
      <c r="BQ79" s="40">
        <f t="shared" si="35"/>
        <v>0</v>
      </c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x14ac:dyDescent="0.25">
      <c r="A80" s="169">
        <f t="shared" si="32"/>
        <v>71</v>
      </c>
      <c r="B80" s="170">
        <f t="shared" si="32"/>
        <v>2094</v>
      </c>
      <c r="C80" s="29">
        <v>4.9000000000000004</v>
      </c>
      <c r="D80" s="167">
        <f t="shared" si="36"/>
        <v>3.3500000000000002E-2</v>
      </c>
      <c r="E80" s="29">
        <v>0</v>
      </c>
      <c r="F80" s="167">
        <f t="shared" si="18"/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167">
        <f t="shared" si="21"/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167">
        <f t="shared" si="22"/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167">
        <f t="shared" si="23"/>
        <v>0</v>
      </c>
      <c r="AD80" s="29">
        <v>0</v>
      </c>
      <c r="AE80" s="29">
        <v>0</v>
      </c>
      <c r="AF80" s="29">
        <v>0</v>
      </c>
      <c r="AG80" s="29">
        <v>0</v>
      </c>
      <c r="AH80" s="167">
        <f t="shared" si="24"/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167">
        <f t="shared" si="25"/>
        <v>0</v>
      </c>
      <c r="AS80" s="167">
        <f t="shared" si="26"/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167">
        <f t="shared" si="27"/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167">
        <f t="shared" si="28"/>
        <v>0</v>
      </c>
      <c r="BK80" s="167">
        <f t="shared" si="29"/>
        <v>0</v>
      </c>
      <c r="BL80" s="167">
        <f>$BO$9+SUMPRODUCT($D$10:D80,$BK$10:BK80)</f>
        <v>3.8660728931427002</v>
      </c>
      <c r="BM80" s="30">
        <f t="shared" si="30"/>
        <v>4.9000000000000004</v>
      </c>
      <c r="BN80" s="167">
        <f t="shared" si="33"/>
        <v>0</v>
      </c>
      <c r="BO80" s="168">
        <f t="shared" si="31"/>
        <v>0</v>
      </c>
      <c r="BP80" s="40">
        <f t="shared" si="34"/>
        <v>0</v>
      </c>
      <c r="BQ80" s="40">
        <f t="shared" si="35"/>
        <v>0</v>
      </c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x14ac:dyDescent="0.25">
      <c r="A81" s="169">
        <f t="shared" si="32"/>
        <v>72</v>
      </c>
      <c r="B81" s="170">
        <f t="shared" si="32"/>
        <v>2095</v>
      </c>
      <c r="C81" s="29">
        <v>4.9000000000000004</v>
      </c>
      <c r="D81" s="167">
        <f t="shared" si="36"/>
        <v>3.1940000000000003E-2</v>
      </c>
      <c r="E81" s="29">
        <v>0</v>
      </c>
      <c r="F81" s="167">
        <f t="shared" si="18"/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167">
        <f t="shared" si="21"/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167">
        <f t="shared" si="22"/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167">
        <f t="shared" si="23"/>
        <v>0</v>
      </c>
      <c r="AD81" s="29">
        <v>0</v>
      </c>
      <c r="AE81" s="29">
        <v>0</v>
      </c>
      <c r="AF81" s="29">
        <v>0</v>
      </c>
      <c r="AG81" s="29">
        <v>0</v>
      </c>
      <c r="AH81" s="167">
        <f t="shared" si="24"/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167">
        <f t="shared" si="25"/>
        <v>0</v>
      </c>
      <c r="AS81" s="167">
        <f t="shared" si="26"/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167">
        <f t="shared" si="27"/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167">
        <f t="shared" si="28"/>
        <v>0</v>
      </c>
      <c r="BK81" s="167">
        <f t="shared" si="29"/>
        <v>0</v>
      </c>
      <c r="BL81" s="167">
        <f>$BO$9+SUMPRODUCT($D$10:D81,$BK$10:BK81)</f>
        <v>3.8660728931427002</v>
      </c>
      <c r="BM81" s="30">
        <f t="shared" si="30"/>
        <v>4.9000000000000004</v>
      </c>
      <c r="BN81" s="167">
        <f t="shared" si="33"/>
        <v>0</v>
      </c>
      <c r="BO81" s="168">
        <f t="shared" si="31"/>
        <v>0</v>
      </c>
      <c r="BP81" s="40">
        <f t="shared" si="34"/>
        <v>0</v>
      </c>
      <c r="BQ81" s="40">
        <f t="shared" si="35"/>
        <v>0</v>
      </c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x14ac:dyDescent="0.25">
      <c r="A82" s="169">
        <f t="shared" si="32"/>
        <v>73</v>
      </c>
      <c r="B82" s="170">
        <f t="shared" si="32"/>
        <v>2096</v>
      </c>
      <c r="C82" s="29">
        <v>4.9000000000000004</v>
      </c>
      <c r="D82" s="167">
        <f t="shared" si="36"/>
        <v>3.0450000000000001E-2</v>
      </c>
      <c r="E82" s="29">
        <v>0</v>
      </c>
      <c r="F82" s="167">
        <f t="shared" si="18"/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167">
        <f t="shared" si="21"/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167">
        <f t="shared" si="22"/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167">
        <f t="shared" si="23"/>
        <v>0</v>
      </c>
      <c r="AD82" s="29">
        <v>0</v>
      </c>
      <c r="AE82" s="29">
        <v>0</v>
      </c>
      <c r="AF82" s="29">
        <v>0</v>
      </c>
      <c r="AG82" s="29">
        <v>0</v>
      </c>
      <c r="AH82" s="167">
        <f t="shared" si="24"/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167">
        <f t="shared" si="25"/>
        <v>0</v>
      </c>
      <c r="AS82" s="167">
        <f t="shared" si="26"/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167">
        <f t="shared" si="27"/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167">
        <f t="shared" si="28"/>
        <v>0</v>
      </c>
      <c r="BK82" s="167">
        <f t="shared" si="29"/>
        <v>0</v>
      </c>
      <c r="BL82" s="167">
        <f>$BO$9+SUMPRODUCT($D$10:D82,$BK$10:BK82)</f>
        <v>3.8660728931427002</v>
      </c>
      <c r="BM82" s="30">
        <f t="shared" si="30"/>
        <v>4.9000000000000004</v>
      </c>
      <c r="BN82" s="167">
        <f t="shared" si="33"/>
        <v>0</v>
      </c>
      <c r="BO82" s="168">
        <f t="shared" si="31"/>
        <v>0</v>
      </c>
      <c r="BP82" s="40">
        <f t="shared" si="34"/>
        <v>0</v>
      </c>
      <c r="BQ82" s="40">
        <f t="shared" si="35"/>
        <v>0</v>
      </c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x14ac:dyDescent="0.25">
      <c r="A83" s="169">
        <f t="shared" si="32"/>
        <v>74</v>
      </c>
      <c r="B83" s="170">
        <f t="shared" si="32"/>
        <v>2097</v>
      </c>
      <c r="C83" s="29">
        <v>4.9000000000000004</v>
      </c>
      <c r="D83" s="167">
        <f t="shared" si="36"/>
        <v>2.903E-2</v>
      </c>
      <c r="E83" s="29">
        <v>0</v>
      </c>
      <c r="F83" s="167">
        <f t="shared" si="18"/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167">
        <f t="shared" si="21"/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167">
        <f t="shared" si="22"/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167">
        <f t="shared" si="23"/>
        <v>0</v>
      </c>
      <c r="AD83" s="29">
        <v>0</v>
      </c>
      <c r="AE83" s="29">
        <v>0</v>
      </c>
      <c r="AF83" s="29">
        <v>0</v>
      </c>
      <c r="AG83" s="29">
        <v>0</v>
      </c>
      <c r="AH83" s="167">
        <f t="shared" si="24"/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167">
        <f t="shared" si="25"/>
        <v>0</v>
      </c>
      <c r="AS83" s="167">
        <f t="shared" si="26"/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167">
        <f t="shared" si="27"/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167">
        <f t="shared" si="28"/>
        <v>0</v>
      </c>
      <c r="BK83" s="167">
        <f t="shared" si="29"/>
        <v>0</v>
      </c>
      <c r="BL83" s="167">
        <f>$BO$9+SUMPRODUCT($D$10:D83,$BK$10:BK83)</f>
        <v>3.8660728931427002</v>
      </c>
      <c r="BM83" s="30">
        <f t="shared" si="30"/>
        <v>4.9000000000000004</v>
      </c>
      <c r="BN83" s="167">
        <f t="shared" si="33"/>
        <v>0</v>
      </c>
      <c r="BO83" s="168">
        <f t="shared" si="31"/>
        <v>0</v>
      </c>
      <c r="BP83" s="40">
        <f t="shared" si="34"/>
        <v>0</v>
      </c>
      <c r="BQ83" s="40">
        <f t="shared" si="35"/>
        <v>0</v>
      </c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x14ac:dyDescent="0.25">
      <c r="A84" s="169">
        <f t="shared" si="32"/>
        <v>75</v>
      </c>
      <c r="B84" s="170">
        <f t="shared" si="32"/>
        <v>2098</v>
      </c>
      <c r="C84" s="29">
        <v>4.9000000000000004</v>
      </c>
      <c r="D84" s="167">
        <f t="shared" si="36"/>
        <v>2.767E-2</v>
      </c>
      <c r="E84" s="29">
        <v>0</v>
      </c>
      <c r="F84" s="167">
        <f t="shared" si="18"/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167">
        <f t="shared" si="21"/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167">
        <f t="shared" si="22"/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167">
        <f t="shared" si="23"/>
        <v>0</v>
      </c>
      <c r="AD84" s="29">
        <v>0</v>
      </c>
      <c r="AE84" s="29">
        <v>0</v>
      </c>
      <c r="AF84" s="29">
        <v>0</v>
      </c>
      <c r="AG84" s="29">
        <v>0</v>
      </c>
      <c r="AH84" s="167">
        <f t="shared" si="24"/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167">
        <f t="shared" si="25"/>
        <v>0</v>
      </c>
      <c r="AS84" s="167">
        <f t="shared" si="26"/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167">
        <f t="shared" si="27"/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167">
        <f t="shared" si="28"/>
        <v>0</v>
      </c>
      <c r="BK84" s="167">
        <f t="shared" si="29"/>
        <v>0</v>
      </c>
      <c r="BL84" s="167">
        <f>$BO$9+SUMPRODUCT($D$10:D84,$BK$10:BK84)</f>
        <v>3.8660728931427002</v>
      </c>
      <c r="BM84" s="30">
        <f t="shared" si="30"/>
        <v>4.9000000000000004</v>
      </c>
      <c r="BN84" s="167">
        <f t="shared" si="33"/>
        <v>0</v>
      </c>
      <c r="BO84" s="168">
        <f t="shared" si="31"/>
        <v>0</v>
      </c>
      <c r="BP84" s="40">
        <f t="shared" si="34"/>
        <v>0</v>
      </c>
      <c r="BQ84" s="40">
        <f t="shared" si="35"/>
        <v>0</v>
      </c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x14ac:dyDescent="0.25">
      <c r="A85" s="169">
        <f t="shared" si="32"/>
        <v>76</v>
      </c>
      <c r="B85" s="170">
        <f t="shared" si="32"/>
        <v>2099</v>
      </c>
      <c r="C85" s="29">
        <v>4.9000000000000004</v>
      </c>
      <c r="D85" s="167">
        <f t="shared" si="36"/>
        <v>2.6380000000000001E-2</v>
      </c>
      <c r="E85" s="29">
        <v>0</v>
      </c>
      <c r="F85" s="167">
        <f t="shared" si="18"/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167">
        <f t="shared" si="21"/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167">
        <f t="shared" si="22"/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167">
        <f t="shared" si="23"/>
        <v>0</v>
      </c>
      <c r="AD85" s="29">
        <v>0</v>
      </c>
      <c r="AE85" s="29">
        <v>0</v>
      </c>
      <c r="AF85" s="29">
        <v>0</v>
      </c>
      <c r="AG85" s="29">
        <v>0</v>
      </c>
      <c r="AH85" s="167">
        <f t="shared" si="24"/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167">
        <f t="shared" si="25"/>
        <v>0</v>
      </c>
      <c r="AS85" s="167">
        <f t="shared" si="26"/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167">
        <f t="shared" si="27"/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167">
        <f t="shared" si="28"/>
        <v>0</v>
      </c>
      <c r="BK85" s="167">
        <f t="shared" si="29"/>
        <v>0</v>
      </c>
      <c r="BL85" s="167">
        <f>$BO$9+SUMPRODUCT($D$10:D85,$BK$10:BK85)</f>
        <v>3.8660728931427002</v>
      </c>
      <c r="BM85" s="30">
        <f t="shared" si="30"/>
        <v>4.9000000000000004</v>
      </c>
      <c r="BN85" s="167">
        <f t="shared" si="33"/>
        <v>0</v>
      </c>
      <c r="BO85" s="168">
        <f t="shared" si="31"/>
        <v>0</v>
      </c>
      <c r="BP85" s="40">
        <f t="shared" si="34"/>
        <v>0</v>
      </c>
      <c r="BQ85" s="40">
        <f t="shared" si="35"/>
        <v>0</v>
      </c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x14ac:dyDescent="0.25">
      <c r="A86" s="169">
        <f t="shared" si="32"/>
        <v>77</v>
      </c>
      <c r="B86" s="170">
        <f t="shared" si="32"/>
        <v>2100</v>
      </c>
      <c r="C86" s="29">
        <v>4.9000000000000004</v>
      </c>
      <c r="D86" s="167">
        <f t="shared" si="36"/>
        <v>2.5149999999999999E-2</v>
      </c>
      <c r="E86" s="29">
        <v>0</v>
      </c>
      <c r="F86" s="167">
        <f t="shared" si="18"/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167">
        <f t="shared" si="21"/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167">
        <f t="shared" si="22"/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167">
        <f t="shared" si="23"/>
        <v>0</v>
      </c>
      <c r="AD86" s="29">
        <v>0</v>
      </c>
      <c r="AE86" s="29">
        <v>0</v>
      </c>
      <c r="AF86" s="29">
        <v>0</v>
      </c>
      <c r="AG86" s="29">
        <v>0</v>
      </c>
      <c r="AH86" s="167">
        <f t="shared" si="24"/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167">
        <f t="shared" si="25"/>
        <v>0</v>
      </c>
      <c r="AS86" s="167">
        <f t="shared" si="26"/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167">
        <f t="shared" si="27"/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167">
        <f t="shared" si="28"/>
        <v>0</v>
      </c>
      <c r="BK86" s="167">
        <f t="shared" si="29"/>
        <v>0</v>
      </c>
      <c r="BL86" s="167">
        <f>$BO$9+SUMPRODUCT($D$10:D86,$BK$10:BK86)</f>
        <v>3.8660728931427002</v>
      </c>
      <c r="BM86" s="30">
        <f t="shared" si="30"/>
        <v>4.9000000000000004</v>
      </c>
      <c r="BN86" s="167">
        <f t="shared" si="33"/>
        <v>0</v>
      </c>
      <c r="BO86" s="168">
        <f t="shared" si="31"/>
        <v>0</v>
      </c>
      <c r="BP86" s="40">
        <f t="shared" si="34"/>
        <v>0</v>
      </c>
      <c r="BQ86" s="40">
        <f t="shared" si="35"/>
        <v>0</v>
      </c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x14ac:dyDescent="0.25">
      <c r="A87" s="169">
        <f t="shared" si="32"/>
        <v>78</v>
      </c>
      <c r="B87" s="170">
        <f t="shared" si="32"/>
        <v>2101</v>
      </c>
      <c r="C87" s="29">
        <v>4.9000000000000004</v>
      </c>
      <c r="D87" s="167">
        <f t="shared" si="36"/>
        <v>2.3980000000000001E-2</v>
      </c>
      <c r="E87" s="29">
        <v>0</v>
      </c>
      <c r="F87" s="167">
        <f t="shared" si="18"/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167">
        <f t="shared" si="21"/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167">
        <f t="shared" si="22"/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167">
        <f t="shared" si="23"/>
        <v>0</v>
      </c>
      <c r="AD87" s="29">
        <v>0</v>
      </c>
      <c r="AE87" s="29">
        <v>0</v>
      </c>
      <c r="AF87" s="29">
        <v>0</v>
      </c>
      <c r="AG87" s="29">
        <v>0</v>
      </c>
      <c r="AH87" s="167">
        <f t="shared" si="24"/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167">
        <f t="shared" si="25"/>
        <v>0</v>
      </c>
      <c r="AS87" s="167">
        <f t="shared" si="26"/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167">
        <f t="shared" si="27"/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167">
        <f t="shared" si="28"/>
        <v>0</v>
      </c>
      <c r="BK87" s="167">
        <f t="shared" si="29"/>
        <v>0</v>
      </c>
      <c r="BL87" s="167">
        <f>$BO$9+SUMPRODUCT($D$10:D87,$BK$10:BK87)</f>
        <v>3.8660728931427002</v>
      </c>
      <c r="BM87" s="30">
        <f t="shared" si="30"/>
        <v>4.9000000000000004</v>
      </c>
      <c r="BN87" s="167">
        <f t="shared" si="33"/>
        <v>0</v>
      </c>
      <c r="BO87" s="168">
        <f t="shared" si="31"/>
        <v>0</v>
      </c>
      <c r="BP87" s="40">
        <f t="shared" si="34"/>
        <v>0</v>
      </c>
      <c r="BQ87" s="40">
        <f t="shared" si="35"/>
        <v>0</v>
      </c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x14ac:dyDescent="0.25">
      <c r="A88" s="169">
        <f t="shared" si="32"/>
        <v>79</v>
      </c>
      <c r="B88" s="170">
        <f t="shared" si="32"/>
        <v>2102</v>
      </c>
      <c r="C88" s="29">
        <v>4.9000000000000004</v>
      </c>
      <c r="D88" s="167">
        <f t="shared" si="36"/>
        <v>2.2859999999999998E-2</v>
      </c>
      <c r="E88" s="29">
        <v>0</v>
      </c>
      <c r="F88" s="167">
        <f t="shared" si="18"/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167">
        <f t="shared" si="21"/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167">
        <f t="shared" si="22"/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167">
        <f t="shared" si="23"/>
        <v>0</v>
      </c>
      <c r="AD88" s="29">
        <v>0</v>
      </c>
      <c r="AE88" s="29">
        <v>0</v>
      </c>
      <c r="AF88" s="29">
        <v>0</v>
      </c>
      <c r="AG88" s="29">
        <v>0</v>
      </c>
      <c r="AH88" s="167">
        <f t="shared" si="24"/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167">
        <f t="shared" si="25"/>
        <v>0</v>
      </c>
      <c r="AS88" s="167">
        <f t="shared" si="26"/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167">
        <f t="shared" si="27"/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167">
        <f t="shared" si="28"/>
        <v>0</v>
      </c>
      <c r="BK88" s="167">
        <f t="shared" si="29"/>
        <v>0</v>
      </c>
      <c r="BL88" s="167">
        <f>$BO$9+SUMPRODUCT($D$10:D88,$BK$10:BK88)</f>
        <v>3.8660728931427002</v>
      </c>
      <c r="BM88" s="30">
        <f t="shared" si="30"/>
        <v>4.9000000000000004</v>
      </c>
      <c r="BN88" s="167">
        <f t="shared" si="33"/>
        <v>0</v>
      </c>
      <c r="BO88" s="168">
        <f t="shared" si="31"/>
        <v>0</v>
      </c>
      <c r="BP88" s="40">
        <f t="shared" si="34"/>
        <v>0</v>
      </c>
      <c r="BQ88" s="40">
        <f t="shared" si="35"/>
        <v>0</v>
      </c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x14ac:dyDescent="0.25">
      <c r="A89" s="169">
        <f t="shared" si="32"/>
        <v>80</v>
      </c>
      <c r="B89" s="170">
        <f t="shared" si="32"/>
        <v>2103</v>
      </c>
      <c r="C89" s="29">
        <v>4.9000000000000004</v>
      </c>
      <c r="D89" s="167">
        <f t="shared" si="36"/>
        <v>2.179E-2</v>
      </c>
      <c r="E89" s="29">
        <v>0</v>
      </c>
      <c r="F89" s="167">
        <f t="shared" si="18"/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167">
        <f t="shared" si="21"/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167">
        <f t="shared" si="22"/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167">
        <f t="shared" si="23"/>
        <v>0</v>
      </c>
      <c r="AD89" s="29">
        <v>0</v>
      </c>
      <c r="AE89" s="29">
        <v>0</v>
      </c>
      <c r="AF89" s="29">
        <v>0</v>
      </c>
      <c r="AG89" s="29">
        <v>0</v>
      </c>
      <c r="AH89" s="167">
        <f t="shared" si="24"/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167">
        <f t="shared" si="25"/>
        <v>0</v>
      </c>
      <c r="AS89" s="167">
        <f t="shared" si="26"/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167">
        <f t="shared" si="27"/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167">
        <f t="shared" si="28"/>
        <v>0</v>
      </c>
      <c r="BK89" s="167">
        <f t="shared" si="29"/>
        <v>0</v>
      </c>
      <c r="BL89" s="167">
        <f>$BO$9+SUMPRODUCT($D$10:D89,$BK$10:BK89)</f>
        <v>3.8660728931427002</v>
      </c>
      <c r="BM89" s="30">
        <f t="shared" si="30"/>
        <v>4.9000000000000004</v>
      </c>
      <c r="BN89" s="167">
        <f t="shared" si="33"/>
        <v>0</v>
      </c>
      <c r="BO89" s="168">
        <f t="shared" si="31"/>
        <v>0</v>
      </c>
      <c r="BP89" s="40">
        <f t="shared" si="34"/>
        <v>0</v>
      </c>
      <c r="BQ89" s="40">
        <f t="shared" si="35"/>
        <v>0</v>
      </c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x14ac:dyDescent="0.25">
      <c r="A90" s="169">
        <f t="shared" si="32"/>
        <v>81</v>
      </c>
      <c r="B90" s="170">
        <f t="shared" si="32"/>
        <v>2104</v>
      </c>
      <c r="C90" s="29">
        <v>4.9000000000000004</v>
      </c>
      <c r="D90" s="167">
        <f t="shared" si="36"/>
        <v>2.077E-2</v>
      </c>
      <c r="E90" s="29">
        <v>0</v>
      </c>
      <c r="F90" s="167">
        <f t="shared" si="18"/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167">
        <f t="shared" si="21"/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167">
        <f t="shared" si="22"/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167">
        <f t="shared" si="23"/>
        <v>0</v>
      </c>
      <c r="AD90" s="29">
        <v>0</v>
      </c>
      <c r="AE90" s="29">
        <v>0</v>
      </c>
      <c r="AF90" s="29">
        <v>0</v>
      </c>
      <c r="AG90" s="29">
        <v>0</v>
      </c>
      <c r="AH90" s="167">
        <f t="shared" si="24"/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167">
        <f t="shared" si="25"/>
        <v>0</v>
      </c>
      <c r="AS90" s="167">
        <f t="shared" si="26"/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167">
        <f t="shared" si="27"/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167">
        <f t="shared" si="28"/>
        <v>0</v>
      </c>
      <c r="BK90" s="167">
        <f t="shared" si="29"/>
        <v>0</v>
      </c>
      <c r="BL90" s="167">
        <f>$BO$9+SUMPRODUCT($D$10:D90,$BK$10:BK90)</f>
        <v>3.8660728931427002</v>
      </c>
      <c r="BM90" s="30">
        <f t="shared" si="30"/>
        <v>4.9000000000000004</v>
      </c>
      <c r="BN90" s="167">
        <f t="shared" si="33"/>
        <v>0</v>
      </c>
      <c r="BO90" s="168">
        <f t="shared" si="31"/>
        <v>0</v>
      </c>
      <c r="BP90" s="40">
        <f t="shared" si="34"/>
        <v>0</v>
      </c>
      <c r="BQ90" s="40">
        <f t="shared" si="35"/>
        <v>0</v>
      </c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x14ac:dyDescent="0.25">
      <c r="A91" s="169">
        <f t="shared" ref="A91:B106" si="37">A90+1</f>
        <v>82</v>
      </c>
      <c r="B91" s="170">
        <f t="shared" si="37"/>
        <v>2105</v>
      </c>
      <c r="C91" s="29">
        <v>4.9000000000000004</v>
      </c>
      <c r="D91" s="167">
        <f t="shared" si="36"/>
        <v>1.9800000000000002E-2</v>
      </c>
      <c r="E91" s="29">
        <v>0</v>
      </c>
      <c r="F91" s="167">
        <f t="shared" si="18"/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167">
        <f t="shared" si="21"/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167">
        <f t="shared" si="22"/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167">
        <f t="shared" si="23"/>
        <v>0</v>
      </c>
      <c r="AD91" s="29">
        <v>0</v>
      </c>
      <c r="AE91" s="29">
        <v>0</v>
      </c>
      <c r="AF91" s="29">
        <v>0</v>
      </c>
      <c r="AG91" s="29">
        <v>0</v>
      </c>
      <c r="AH91" s="167">
        <f t="shared" si="24"/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167">
        <f t="shared" si="25"/>
        <v>0</v>
      </c>
      <c r="AS91" s="167">
        <f t="shared" si="26"/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167">
        <f t="shared" si="27"/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0</v>
      </c>
      <c r="BI91" s="29">
        <v>0</v>
      </c>
      <c r="BJ91" s="167">
        <f t="shared" si="28"/>
        <v>0</v>
      </c>
      <c r="BK91" s="167">
        <f t="shared" si="29"/>
        <v>0</v>
      </c>
      <c r="BL91" s="167">
        <f>$BO$9+SUMPRODUCT($D$10:D91,$BK$10:BK91)</f>
        <v>3.8660728931427002</v>
      </c>
      <c r="BM91" s="30">
        <f t="shared" si="30"/>
        <v>4.9000000000000004</v>
      </c>
      <c r="BN91" s="167">
        <f t="shared" si="33"/>
        <v>0</v>
      </c>
      <c r="BO91" s="168">
        <f t="shared" si="31"/>
        <v>0</v>
      </c>
      <c r="BP91" s="40">
        <f t="shared" si="34"/>
        <v>0</v>
      </c>
      <c r="BQ91" s="40">
        <f t="shared" si="35"/>
        <v>0</v>
      </c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x14ac:dyDescent="0.25">
      <c r="A92" s="169">
        <f t="shared" si="37"/>
        <v>83</v>
      </c>
      <c r="B92" s="170">
        <f t="shared" si="37"/>
        <v>2106</v>
      </c>
      <c r="C92" s="29">
        <v>4.9000000000000004</v>
      </c>
      <c r="D92" s="167">
        <f t="shared" si="36"/>
        <v>1.8880000000000001E-2</v>
      </c>
      <c r="E92" s="29">
        <v>0</v>
      </c>
      <c r="F92" s="167">
        <f t="shared" si="18"/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167">
        <f t="shared" si="21"/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167">
        <f t="shared" si="22"/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167">
        <f t="shared" si="23"/>
        <v>0</v>
      </c>
      <c r="AD92" s="29">
        <v>0</v>
      </c>
      <c r="AE92" s="29">
        <v>0</v>
      </c>
      <c r="AF92" s="29">
        <v>0</v>
      </c>
      <c r="AG92" s="29">
        <v>0</v>
      </c>
      <c r="AH92" s="167">
        <f t="shared" si="24"/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167">
        <f t="shared" si="25"/>
        <v>0</v>
      </c>
      <c r="AS92" s="167">
        <f t="shared" si="26"/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167">
        <f t="shared" si="27"/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167">
        <f t="shared" si="28"/>
        <v>0</v>
      </c>
      <c r="BK92" s="167">
        <f t="shared" si="29"/>
        <v>0</v>
      </c>
      <c r="BL92" s="167">
        <f>$BO$9+SUMPRODUCT($D$10:D92,$BK$10:BK92)</f>
        <v>3.8660728931427002</v>
      </c>
      <c r="BM92" s="30">
        <f t="shared" si="30"/>
        <v>4.9000000000000004</v>
      </c>
      <c r="BN92" s="167">
        <f t="shared" si="33"/>
        <v>0</v>
      </c>
      <c r="BO92" s="168">
        <f t="shared" si="31"/>
        <v>0</v>
      </c>
      <c r="BP92" s="40">
        <f t="shared" si="34"/>
        <v>0</v>
      </c>
      <c r="BQ92" s="40">
        <f t="shared" si="35"/>
        <v>0</v>
      </c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x14ac:dyDescent="0.25">
      <c r="A93" s="169">
        <f t="shared" si="37"/>
        <v>84</v>
      </c>
      <c r="B93" s="170">
        <f t="shared" si="37"/>
        <v>2107</v>
      </c>
      <c r="C93" s="29">
        <v>4.9000000000000004</v>
      </c>
      <c r="D93" s="167">
        <f t="shared" si="36"/>
        <v>1.7999999999999999E-2</v>
      </c>
      <c r="E93" s="29">
        <v>0</v>
      </c>
      <c r="F93" s="167">
        <f t="shared" si="18"/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167">
        <f t="shared" si="21"/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167">
        <f t="shared" si="22"/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167">
        <f t="shared" si="23"/>
        <v>0</v>
      </c>
      <c r="AD93" s="29">
        <v>0</v>
      </c>
      <c r="AE93" s="29">
        <v>0</v>
      </c>
      <c r="AF93" s="29">
        <v>0</v>
      </c>
      <c r="AG93" s="29">
        <v>0</v>
      </c>
      <c r="AH93" s="167">
        <f t="shared" si="24"/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167">
        <f t="shared" si="25"/>
        <v>0</v>
      </c>
      <c r="AS93" s="167">
        <f t="shared" si="26"/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167">
        <f t="shared" si="27"/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0</v>
      </c>
      <c r="BI93" s="29">
        <v>0</v>
      </c>
      <c r="BJ93" s="167">
        <f t="shared" si="28"/>
        <v>0</v>
      </c>
      <c r="BK93" s="167">
        <f t="shared" si="29"/>
        <v>0</v>
      </c>
      <c r="BL93" s="167">
        <f>$BO$9+SUMPRODUCT($D$10:D93,$BK$10:BK93)</f>
        <v>3.8660728931427002</v>
      </c>
      <c r="BM93" s="30">
        <f t="shared" si="30"/>
        <v>4.9000000000000004</v>
      </c>
      <c r="BN93" s="167">
        <f t="shared" si="33"/>
        <v>0</v>
      </c>
      <c r="BO93" s="168">
        <f t="shared" si="31"/>
        <v>0</v>
      </c>
      <c r="BP93" s="40">
        <f t="shared" si="34"/>
        <v>0</v>
      </c>
      <c r="BQ93" s="40">
        <f t="shared" si="35"/>
        <v>0</v>
      </c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x14ac:dyDescent="0.25">
      <c r="A94" s="169">
        <f t="shared" si="37"/>
        <v>85</v>
      </c>
      <c r="B94" s="170">
        <f t="shared" si="37"/>
        <v>2108</v>
      </c>
      <c r="C94" s="29">
        <v>4.9000000000000004</v>
      </c>
      <c r="D94" s="167">
        <f t="shared" si="36"/>
        <v>1.7160000000000002E-2</v>
      </c>
      <c r="E94" s="29">
        <v>0</v>
      </c>
      <c r="F94" s="167">
        <f t="shared" si="18"/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167">
        <f t="shared" si="21"/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167">
        <f t="shared" si="22"/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167">
        <f t="shared" si="23"/>
        <v>0</v>
      </c>
      <c r="AD94" s="29">
        <v>0</v>
      </c>
      <c r="AE94" s="29">
        <v>0</v>
      </c>
      <c r="AF94" s="29">
        <v>0</v>
      </c>
      <c r="AG94" s="29">
        <v>0</v>
      </c>
      <c r="AH94" s="167">
        <f t="shared" si="24"/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167">
        <f t="shared" si="25"/>
        <v>0</v>
      </c>
      <c r="AS94" s="167">
        <f t="shared" si="26"/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167">
        <f t="shared" si="27"/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167">
        <f t="shared" si="28"/>
        <v>0</v>
      </c>
      <c r="BK94" s="167">
        <f t="shared" si="29"/>
        <v>0</v>
      </c>
      <c r="BL94" s="167">
        <f>$BO$9+SUMPRODUCT($D$10:D94,$BK$10:BK94)</f>
        <v>3.8660728931427002</v>
      </c>
      <c r="BM94" s="30">
        <f t="shared" si="30"/>
        <v>4.9000000000000004</v>
      </c>
      <c r="BN94" s="167">
        <f t="shared" si="33"/>
        <v>0</v>
      </c>
      <c r="BO94" s="168">
        <f t="shared" si="31"/>
        <v>0</v>
      </c>
      <c r="BP94" s="40">
        <f t="shared" si="34"/>
        <v>0</v>
      </c>
      <c r="BQ94" s="40">
        <f t="shared" si="35"/>
        <v>0</v>
      </c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x14ac:dyDescent="0.25">
      <c r="A95" s="169">
        <f t="shared" si="37"/>
        <v>86</v>
      </c>
      <c r="B95" s="170">
        <f t="shared" si="37"/>
        <v>2109</v>
      </c>
      <c r="C95" s="29">
        <v>4.9000000000000004</v>
      </c>
      <c r="D95" s="167">
        <f t="shared" si="36"/>
        <v>1.636E-2</v>
      </c>
      <c r="E95" s="29">
        <v>0</v>
      </c>
      <c r="F95" s="167">
        <f t="shared" si="18"/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167">
        <f t="shared" si="21"/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167">
        <f t="shared" si="22"/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167">
        <f t="shared" si="23"/>
        <v>0</v>
      </c>
      <c r="AD95" s="29">
        <v>0</v>
      </c>
      <c r="AE95" s="29">
        <v>0</v>
      </c>
      <c r="AF95" s="29">
        <v>0</v>
      </c>
      <c r="AG95" s="29">
        <v>0</v>
      </c>
      <c r="AH95" s="167">
        <f t="shared" si="24"/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167">
        <f t="shared" si="25"/>
        <v>0</v>
      </c>
      <c r="AS95" s="167">
        <f t="shared" si="26"/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167">
        <f t="shared" si="27"/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0</v>
      </c>
      <c r="BI95" s="29">
        <v>0</v>
      </c>
      <c r="BJ95" s="167">
        <f t="shared" si="28"/>
        <v>0</v>
      </c>
      <c r="BK95" s="167">
        <f t="shared" si="29"/>
        <v>0</v>
      </c>
      <c r="BL95" s="167">
        <f>$BO$9+SUMPRODUCT($D$10:D95,$BK$10:BK95)</f>
        <v>3.8660728931427002</v>
      </c>
      <c r="BM95" s="30">
        <f t="shared" si="30"/>
        <v>4.9000000000000004</v>
      </c>
      <c r="BN95" s="167">
        <f t="shared" si="33"/>
        <v>0</v>
      </c>
      <c r="BO95" s="168">
        <f t="shared" si="31"/>
        <v>0</v>
      </c>
      <c r="BP95" s="40">
        <f t="shared" si="34"/>
        <v>0</v>
      </c>
      <c r="BQ95" s="40">
        <f t="shared" si="35"/>
        <v>0</v>
      </c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x14ac:dyDescent="0.25">
      <c r="A96" s="169">
        <f t="shared" si="37"/>
        <v>87</v>
      </c>
      <c r="B96" s="170">
        <f t="shared" si="37"/>
        <v>2110</v>
      </c>
      <c r="C96" s="29">
        <v>4.9000000000000004</v>
      </c>
      <c r="D96" s="167">
        <f t="shared" si="36"/>
        <v>1.5599999999999999E-2</v>
      </c>
      <c r="E96" s="29">
        <v>0</v>
      </c>
      <c r="F96" s="167">
        <f t="shared" si="18"/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167">
        <f t="shared" si="21"/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167">
        <f t="shared" si="22"/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167">
        <f t="shared" si="23"/>
        <v>0</v>
      </c>
      <c r="AD96" s="29">
        <v>0</v>
      </c>
      <c r="AE96" s="29">
        <v>0</v>
      </c>
      <c r="AF96" s="29">
        <v>0</v>
      </c>
      <c r="AG96" s="29">
        <v>0</v>
      </c>
      <c r="AH96" s="167">
        <f t="shared" si="24"/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167">
        <f t="shared" si="25"/>
        <v>0</v>
      </c>
      <c r="AS96" s="167">
        <f t="shared" si="26"/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167">
        <f t="shared" si="27"/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0</v>
      </c>
      <c r="BI96" s="29">
        <v>0</v>
      </c>
      <c r="BJ96" s="167">
        <f t="shared" si="28"/>
        <v>0</v>
      </c>
      <c r="BK96" s="167">
        <f t="shared" si="29"/>
        <v>0</v>
      </c>
      <c r="BL96" s="167">
        <f>$BO$9+SUMPRODUCT($D$10:D96,$BK$10:BK96)</f>
        <v>3.8660728931427002</v>
      </c>
      <c r="BM96" s="30">
        <f t="shared" si="30"/>
        <v>4.9000000000000004</v>
      </c>
      <c r="BN96" s="167">
        <f t="shared" si="33"/>
        <v>0</v>
      </c>
      <c r="BO96" s="168">
        <f t="shared" si="31"/>
        <v>0</v>
      </c>
      <c r="BP96" s="40">
        <f t="shared" si="34"/>
        <v>0</v>
      </c>
      <c r="BQ96" s="40">
        <f t="shared" si="35"/>
        <v>0</v>
      </c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x14ac:dyDescent="0.25">
      <c r="A97" s="169">
        <f t="shared" si="37"/>
        <v>88</v>
      </c>
      <c r="B97" s="170">
        <f t="shared" si="37"/>
        <v>2111</v>
      </c>
      <c r="C97" s="29">
        <v>4.9000000000000004</v>
      </c>
      <c r="D97" s="167">
        <f t="shared" si="36"/>
        <v>1.487E-2</v>
      </c>
      <c r="E97" s="29">
        <v>0</v>
      </c>
      <c r="F97" s="167">
        <f t="shared" si="18"/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167">
        <f t="shared" si="21"/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167">
        <f t="shared" si="22"/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167">
        <f t="shared" si="23"/>
        <v>0</v>
      </c>
      <c r="AD97" s="29">
        <v>0</v>
      </c>
      <c r="AE97" s="29">
        <v>0</v>
      </c>
      <c r="AF97" s="29">
        <v>0</v>
      </c>
      <c r="AG97" s="29">
        <v>0</v>
      </c>
      <c r="AH97" s="167">
        <f t="shared" si="24"/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167">
        <f t="shared" si="25"/>
        <v>0</v>
      </c>
      <c r="AS97" s="167">
        <f t="shared" si="26"/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167">
        <f t="shared" si="27"/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0</v>
      </c>
      <c r="BF97" s="29">
        <v>0</v>
      </c>
      <c r="BG97" s="29">
        <v>0</v>
      </c>
      <c r="BH97" s="29">
        <v>0</v>
      </c>
      <c r="BI97" s="29">
        <v>0</v>
      </c>
      <c r="BJ97" s="167">
        <f t="shared" si="28"/>
        <v>0</v>
      </c>
      <c r="BK97" s="167">
        <f t="shared" si="29"/>
        <v>0</v>
      </c>
      <c r="BL97" s="167">
        <f>$BO$9+SUMPRODUCT($D$10:D97,$BK$10:BK97)</f>
        <v>3.8660728931427002</v>
      </c>
      <c r="BM97" s="30">
        <f t="shared" si="30"/>
        <v>4.9000000000000004</v>
      </c>
      <c r="BN97" s="167">
        <f t="shared" si="33"/>
        <v>0</v>
      </c>
      <c r="BO97" s="168">
        <f t="shared" si="31"/>
        <v>0</v>
      </c>
      <c r="BP97" s="40">
        <f t="shared" si="34"/>
        <v>0</v>
      </c>
      <c r="BQ97" s="40">
        <f t="shared" si="35"/>
        <v>0</v>
      </c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x14ac:dyDescent="0.25">
      <c r="A98" s="169">
        <f t="shared" si="37"/>
        <v>89</v>
      </c>
      <c r="B98" s="170">
        <f t="shared" si="37"/>
        <v>2112</v>
      </c>
      <c r="C98" s="29">
        <v>4.9000000000000004</v>
      </c>
      <c r="D98" s="167">
        <f t="shared" si="36"/>
        <v>1.418E-2</v>
      </c>
      <c r="E98" s="29">
        <v>0</v>
      </c>
      <c r="F98" s="167">
        <f t="shared" si="18"/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167">
        <f t="shared" si="21"/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167">
        <f t="shared" si="22"/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167">
        <f t="shared" si="23"/>
        <v>0</v>
      </c>
      <c r="AD98" s="29">
        <v>0</v>
      </c>
      <c r="AE98" s="29">
        <v>0</v>
      </c>
      <c r="AF98" s="29">
        <v>0</v>
      </c>
      <c r="AG98" s="29">
        <v>0</v>
      </c>
      <c r="AH98" s="167">
        <f t="shared" si="24"/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167">
        <f t="shared" si="25"/>
        <v>0</v>
      </c>
      <c r="AS98" s="167">
        <f t="shared" si="26"/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167">
        <f t="shared" si="27"/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167">
        <f t="shared" si="28"/>
        <v>0</v>
      </c>
      <c r="BK98" s="167">
        <f t="shared" si="29"/>
        <v>0</v>
      </c>
      <c r="BL98" s="167">
        <f>$BO$9+SUMPRODUCT($D$10:D98,$BK$10:BK98)</f>
        <v>3.8660728931427002</v>
      </c>
      <c r="BM98" s="30">
        <f t="shared" si="30"/>
        <v>4.9000000000000004</v>
      </c>
      <c r="BN98" s="167">
        <f t="shared" si="33"/>
        <v>0</v>
      </c>
      <c r="BO98" s="168">
        <f t="shared" si="31"/>
        <v>0</v>
      </c>
      <c r="BP98" s="40">
        <f t="shared" si="34"/>
        <v>0</v>
      </c>
      <c r="BQ98" s="40">
        <f t="shared" si="35"/>
        <v>0</v>
      </c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x14ac:dyDescent="0.25">
      <c r="A99" s="169">
        <f t="shared" si="37"/>
        <v>90</v>
      </c>
      <c r="B99" s="170">
        <f t="shared" si="37"/>
        <v>2113</v>
      </c>
      <c r="C99" s="29">
        <v>4.9000000000000004</v>
      </c>
      <c r="D99" s="167">
        <f t="shared" si="36"/>
        <v>1.3520000000000001E-2</v>
      </c>
      <c r="E99" s="29">
        <v>0</v>
      </c>
      <c r="F99" s="167">
        <f t="shared" si="18"/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167">
        <f t="shared" si="21"/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167">
        <f t="shared" si="22"/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167">
        <f t="shared" si="23"/>
        <v>0</v>
      </c>
      <c r="AD99" s="29">
        <v>0</v>
      </c>
      <c r="AE99" s="29">
        <v>0</v>
      </c>
      <c r="AF99" s="29">
        <v>0</v>
      </c>
      <c r="AG99" s="29">
        <v>0</v>
      </c>
      <c r="AH99" s="167">
        <f t="shared" si="24"/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167">
        <f t="shared" si="25"/>
        <v>0</v>
      </c>
      <c r="AS99" s="167">
        <f t="shared" si="26"/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167">
        <f t="shared" si="27"/>
        <v>0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  <c r="BH99" s="29">
        <v>0</v>
      </c>
      <c r="BI99" s="29">
        <v>0</v>
      </c>
      <c r="BJ99" s="167">
        <f t="shared" si="28"/>
        <v>0</v>
      </c>
      <c r="BK99" s="167">
        <f t="shared" si="29"/>
        <v>0</v>
      </c>
      <c r="BL99" s="167">
        <f>$BO$9+SUMPRODUCT($D$10:D99,$BK$10:BK99)</f>
        <v>3.8660728931427002</v>
      </c>
      <c r="BM99" s="30">
        <f t="shared" si="30"/>
        <v>4.9000000000000004</v>
      </c>
      <c r="BN99" s="167">
        <f t="shared" si="33"/>
        <v>0</v>
      </c>
      <c r="BO99" s="168">
        <f t="shared" si="31"/>
        <v>0</v>
      </c>
      <c r="BP99" s="40">
        <f t="shared" si="34"/>
        <v>0</v>
      </c>
      <c r="BQ99" s="40">
        <f t="shared" si="35"/>
        <v>0</v>
      </c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x14ac:dyDescent="0.25">
      <c r="A100" s="169">
        <f t="shared" si="37"/>
        <v>91</v>
      </c>
      <c r="B100" s="170">
        <f t="shared" si="37"/>
        <v>2114</v>
      </c>
      <c r="C100" s="29">
        <v>4.9000000000000004</v>
      </c>
      <c r="D100" s="167">
        <f t="shared" si="36"/>
        <v>1.289E-2</v>
      </c>
      <c r="E100" s="29">
        <v>0</v>
      </c>
      <c r="F100" s="167">
        <f t="shared" si="18"/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167">
        <f t="shared" si="21"/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167">
        <f t="shared" si="22"/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167">
        <f t="shared" si="23"/>
        <v>0</v>
      </c>
      <c r="AD100" s="29">
        <v>0</v>
      </c>
      <c r="AE100" s="29">
        <v>0</v>
      </c>
      <c r="AF100" s="29">
        <v>0</v>
      </c>
      <c r="AG100" s="29">
        <v>0</v>
      </c>
      <c r="AH100" s="167">
        <f t="shared" si="24"/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167">
        <f t="shared" si="25"/>
        <v>0</v>
      </c>
      <c r="AS100" s="167">
        <f t="shared" si="26"/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167">
        <f t="shared" si="27"/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0</v>
      </c>
      <c r="BJ100" s="167">
        <f t="shared" si="28"/>
        <v>0</v>
      </c>
      <c r="BK100" s="167">
        <f t="shared" si="29"/>
        <v>0</v>
      </c>
      <c r="BL100" s="167">
        <f>$BO$9+SUMPRODUCT($D$10:D100,$BK$10:BK100)</f>
        <v>3.8660728931427002</v>
      </c>
      <c r="BM100" s="30">
        <f t="shared" si="30"/>
        <v>4.9000000000000004</v>
      </c>
      <c r="BN100" s="167">
        <f t="shared" si="33"/>
        <v>0</v>
      </c>
      <c r="BO100" s="168">
        <f t="shared" si="31"/>
        <v>0</v>
      </c>
      <c r="BP100" s="40">
        <f t="shared" si="34"/>
        <v>0</v>
      </c>
      <c r="BQ100" s="40">
        <f t="shared" si="35"/>
        <v>0</v>
      </c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x14ac:dyDescent="0.25">
      <c r="A101" s="169">
        <f t="shared" si="37"/>
        <v>92</v>
      </c>
      <c r="B101" s="170">
        <f t="shared" si="37"/>
        <v>2115</v>
      </c>
      <c r="C101" s="29">
        <v>4.9000000000000004</v>
      </c>
      <c r="D101" s="167">
        <f t="shared" si="36"/>
        <v>1.2290000000000001E-2</v>
      </c>
      <c r="E101" s="29">
        <v>0</v>
      </c>
      <c r="F101" s="167">
        <f t="shared" si="18"/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167">
        <f t="shared" si="21"/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167">
        <f t="shared" si="22"/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167">
        <f t="shared" si="23"/>
        <v>0</v>
      </c>
      <c r="AD101" s="29">
        <v>0</v>
      </c>
      <c r="AE101" s="29">
        <v>0</v>
      </c>
      <c r="AF101" s="29">
        <v>0</v>
      </c>
      <c r="AG101" s="29">
        <v>0</v>
      </c>
      <c r="AH101" s="167">
        <f t="shared" si="24"/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167">
        <f t="shared" si="25"/>
        <v>0</v>
      </c>
      <c r="AS101" s="167">
        <f t="shared" si="26"/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167">
        <f t="shared" si="27"/>
        <v>0</v>
      </c>
      <c r="BA101" s="29">
        <v>0</v>
      </c>
      <c r="BB101" s="29">
        <v>0</v>
      </c>
      <c r="BC101" s="29">
        <v>0</v>
      </c>
      <c r="BD101" s="29">
        <v>0</v>
      </c>
      <c r="BE101" s="29">
        <v>0</v>
      </c>
      <c r="BF101" s="29">
        <v>0</v>
      </c>
      <c r="BG101" s="29">
        <v>0</v>
      </c>
      <c r="BH101" s="29">
        <v>0</v>
      </c>
      <c r="BI101" s="29">
        <v>0</v>
      </c>
      <c r="BJ101" s="167">
        <f t="shared" si="28"/>
        <v>0</v>
      </c>
      <c r="BK101" s="167">
        <f t="shared" si="29"/>
        <v>0</v>
      </c>
      <c r="BL101" s="167">
        <f>$BO$9+SUMPRODUCT($D$10:D101,$BK$10:BK101)</f>
        <v>3.8660728931427002</v>
      </c>
      <c r="BM101" s="30">
        <f t="shared" si="30"/>
        <v>4.9000000000000004</v>
      </c>
      <c r="BN101" s="167">
        <f t="shared" si="33"/>
        <v>0</v>
      </c>
      <c r="BO101" s="168">
        <f t="shared" si="31"/>
        <v>0</v>
      </c>
      <c r="BP101" s="40">
        <f t="shared" si="34"/>
        <v>0</v>
      </c>
      <c r="BQ101" s="40">
        <f t="shared" si="35"/>
        <v>0</v>
      </c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x14ac:dyDescent="0.25">
      <c r="A102" s="169">
        <f t="shared" si="37"/>
        <v>93</v>
      </c>
      <c r="B102" s="170">
        <f t="shared" si="37"/>
        <v>2116</v>
      </c>
      <c r="C102" s="29">
        <v>4.9000000000000004</v>
      </c>
      <c r="D102" s="167">
        <f t="shared" si="36"/>
        <v>1.172E-2</v>
      </c>
      <c r="E102" s="29">
        <v>0</v>
      </c>
      <c r="F102" s="167">
        <f t="shared" si="18"/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167">
        <f t="shared" si="21"/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167">
        <f t="shared" si="22"/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167">
        <f t="shared" si="23"/>
        <v>0</v>
      </c>
      <c r="AD102" s="29">
        <v>0</v>
      </c>
      <c r="AE102" s="29">
        <v>0</v>
      </c>
      <c r="AF102" s="29">
        <v>0</v>
      </c>
      <c r="AG102" s="29">
        <v>0</v>
      </c>
      <c r="AH102" s="167">
        <f t="shared" si="24"/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167">
        <f t="shared" si="25"/>
        <v>0</v>
      </c>
      <c r="AS102" s="167">
        <f t="shared" si="26"/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167">
        <f t="shared" si="27"/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29">
        <v>0</v>
      </c>
      <c r="BH102" s="29">
        <v>0</v>
      </c>
      <c r="BI102" s="29">
        <v>0</v>
      </c>
      <c r="BJ102" s="167">
        <f t="shared" si="28"/>
        <v>0</v>
      </c>
      <c r="BK102" s="167">
        <f t="shared" si="29"/>
        <v>0</v>
      </c>
      <c r="BL102" s="167">
        <f>$BO$9+SUMPRODUCT($D$10:D102,$BK$10:BK102)</f>
        <v>3.8660728931427002</v>
      </c>
      <c r="BM102" s="30">
        <f t="shared" si="30"/>
        <v>4.9000000000000004</v>
      </c>
      <c r="BN102" s="167">
        <f t="shared" si="33"/>
        <v>0</v>
      </c>
      <c r="BO102" s="168">
        <f t="shared" si="31"/>
        <v>0</v>
      </c>
      <c r="BP102" s="40">
        <f t="shared" si="34"/>
        <v>0</v>
      </c>
      <c r="BQ102" s="40">
        <f t="shared" si="35"/>
        <v>0</v>
      </c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x14ac:dyDescent="0.25">
      <c r="A103" s="169">
        <f t="shared" si="37"/>
        <v>94</v>
      </c>
      <c r="B103" s="170">
        <f t="shared" si="37"/>
        <v>2117</v>
      </c>
      <c r="C103" s="29">
        <v>4.9000000000000004</v>
      </c>
      <c r="D103" s="167">
        <f t="shared" si="36"/>
        <v>1.1169999999999999E-2</v>
      </c>
      <c r="E103" s="29">
        <v>0</v>
      </c>
      <c r="F103" s="167">
        <f t="shared" si="18"/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167">
        <f t="shared" si="21"/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167">
        <f t="shared" si="22"/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167">
        <f t="shared" si="23"/>
        <v>0</v>
      </c>
      <c r="AD103" s="29">
        <v>0</v>
      </c>
      <c r="AE103" s="29">
        <v>0</v>
      </c>
      <c r="AF103" s="29">
        <v>0</v>
      </c>
      <c r="AG103" s="29">
        <v>0</v>
      </c>
      <c r="AH103" s="167">
        <f t="shared" si="24"/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167">
        <f t="shared" si="25"/>
        <v>0</v>
      </c>
      <c r="AS103" s="167">
        <f t="shared" si="26"/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167">
        <f t="shared" si="27"/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0</v>
      </c>
      <c r="BI103" s="29">
        <v>0</v>
      </c>
      <c r="BJ103" s="167">
        <f t="shared" si="28"/>
        <v>0</v>
      </c>
      <c r="BK103" s="167">
        <f t="shared" si="29"/>
        <v>0</v>
      </c>
      <c r="BL103" s="167">
        <f>$BO$9+SUMPRODUCT($D$10:D103,$BK$10:BK103)</f>
        <v>3.8660728931427002</v>
      </c>
      <c r="BM103" s="30">
        <f t="shared" si="30"/>
        <v>4.9000000000000004</v>
      </c>
      <c r="BN103" s="167">
        <f t="shared" si="33"/>
        <v>0</v>
      </c>
      <c r="BO103" s="168">
        <f t="shared" si="31"/>
        <v>0</v>
      </c>
      <c r="BP103" s="40">
        <f t="shared" si="34"/>
        <v>0</v>
      </c>
      <c r="BQ103" s="40">
        <f t="shared" si="35"/>
        <v>0</v>
      </c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x14ac:dyDescent="0.25">
      <c r="A104" s="169">
        <f t="shared" si="37"/>
        <v>95</v>
      </c>
      <c r="B104" s="170">
        <f t="shared" si="37"/>
        <v>2118</v>
      </c>
      <c r="C104" s="29">
        <v>4.9000000000000004</v>
      </c>
      <c r="D104" s="167">
        <f t="shared" si="36"/>
        <v>1.065E-2</v>
      </c>
      <c r="E104" s="29">
        <v>0</v>
      </c>
      <c r="F104" s="167">
        <f t="shared" si="18"/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167">
        <f t="shared" si="21"/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167">
        <f t="shared" si="22"/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167">
        <f t="shared" si="23"/>
        <v>0</v>
      </c>
      <c r="AD104" s="29">
        <v>0</v>
      </c>
      <c r="AE104" s="29">
        <v>0</v>
      </c>
      <c r="AF104" s="29">
        <v>0</v>
      </c>
      <c r="AG104" s="29">
        <v>0</v>
      </c>
      <c r="AH104" s="167">
        <f t="shared" si="24"/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167">
        <f t="shared" si="25"/>
        <v>0</v>
      </c>
      <c r="AS104" s="167">
        <f t="shared" si="26"/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167">
        <f t="shared" si="27"/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29">
        <v>0</v>
      </c>
      <c r="BH104" s="29">
        <v>0</v>
      </c>
      <c r="BI104" s="29">
        <v>0</v>
      </c>
      <c r="BJ104" s="167">
        <f t="shared" si="28"/>
        <v>0</v>
      </c>
      <c r="BK104" s="167">
        <f t="shared" si="29"/>
        <v>0</v>
      </c>
      <c r="BL104" s="167">
        <f>$BO$9+SUMPRODUCT($D$10:D104,$BK$10:BK104)</f>
        <v>3.8660728931427002</v>
      </c>
      <c r="BM104" s="30">
        <f t="shared" si="30"/>
        <v>4.9000000000000004</v>
      </c>
      <c r="BN104" s="167">
        <f t="shared" si="33"/>
        <v>0</v>
      </c>
      <c r="BO104" s="168">
        <f t="shared" si="31"/>
        <v>0</v>
      </c>
      <c r="BP104" s="40">
        <f t="shared" si="34"/>
        <v>0</v>
      </c>
      <c r="BQ104" s="40">
        <f t="shared" si="35"/>
        <v>0</v>
      </c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x14ac:dyDescent="0.25">
      <c r="A105" s="169">
        <f t="shared" si="37"/>
        <v>96</v>
      </c>
      <c r="B105" s="170">
        <f t="shared" si="37"/>
        <v>2119</v>
      </c>
      <c r="C105" s="29">
        <v>4.9000000000000004</v>
      </c>
      <c r="D105" s="167">
        <f t="shared" si="36"/>
        <v>1.0149999999999999E-2</v>
      </c>
      <c r="E105" s="29">
        <v>0</v>
      </c>
      <c r="F105" s="167">
        <f t="shared" si="18"/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167">
        <f t="shared" si="21"/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167">
        <f t="shared" si="22"/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167">
        <f t="shared" si="23"/>
        <v>0</v>
      </c>
      <c r="AD105" s="29">
        <v>0</v>
      </c>
      <c r="AE105" s="29">
        <v>0</v>
      </c>
      <c r="AF105" s="29">
        <v>0</v>
      </c>
      <c r="AG105" s="29">
        <v>0</v>
      </c>
      <c r="AH105" s="167">
        <f t="shared" si="24"/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167">
        <f t="shared" si="25"/>
        <v>0</v>
      </c>
      <c r="AS105" s="167">
        <f t="shared" si="26"/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167">
        <f t="shared" si="27"/>
        <v>0</v>
      </c>
      <c r="BA105" s="29">
        <v>0</v>
      </c>
      <c r="BB105" s="29">
        <v>0</v>
      </c>
      <c r="BC105" s="29">
        <v>0</v>
      </c>
      <c r="BD105" s="29">
        <v>0</v>
      </c>
      <c r="BE105" s="29">
        <v>0</v>
      </c>
      <c r="BF105" s="29">
        <v>0</v>
      </c>
      <c r="BG105" s="29">
        <v>0</v>
      </c>
      <c r="BH105" s="29">
        <v>0</v>
      </c>
      <c r="BI105" s="29">
        <v>0</v>
      </c>
      <c r="BJ105" s="167">
        <f t="shared" si="28"/>
        <v>0</v>
      </c>
      <c r="BK105" s="167">
        <f t="shared" si="29"/>
        <v>0</v>
      </c>
      <c r="BL105" s="167">
        <f>$BO$9+SUMPRODUCT($D$10:D105,$BK$10:BK105)</f>
        <v>3.8660728931427002</v>
      </c>
      <c r="BM105" s="30">
        <f t="shared" si="30"/>
        <v>4.9000000000000004</v>
      </c>
      <c r="BN105" s="167">
        <f t="shared" si="33"/>
        <v>0</v>
      </c>
      <c r="BO105" s="168">
        <f t="shared" si="31"/>
        <v>0</v>
      </c>
      <c r="BP105" s="40">
        <f t="shared" si="34"/>
        <v>0</v>
      </c>
      <c r="BQ105" s="40">
        <f t="shared" si="35"/>
        <v>0</v>
      </c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x14ac:dyDescent="0.25">
      <c r="A106" s="169">
        <f t="shared" si="37"/>
        <v>97</v>
      </c>
      <c r="B106" s="170">
        <f t="shared" si="37"/>
        <v>2120</v>
      </c>
      <c r="C106" s="29">
        <v>4.9000000000000004</v>
      </c>
      <c r="D106" s="167">
        <f t="shared" si="36"/>
        <v>9.6799999999999994E-3</v>
      </c>
      <c r="E106" s="29">
        <v>0</v>
      </c>
      <c r="F106" s="167">
        <f t="shared" ref="F106:F159" si="38">ROUND(SUM(G106:J106),5)</f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167">
        <f t="shared" si="21"/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167">
        <f t="shared" si="22"/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167">
        <f t="shared" si="23"/>
        <v>0</v>
      </c>
      <c r="AD106" s="29">
        <v>0</v>
      </c>
      <c r="AE106" s="29">
        <v>0</v>
      </c>
      <c r="AF106" s="29">
        <v>0</v>
      </c>
      <c r="AG106" s="29">
        <v>0</v>
      </c>
      <c r="AH106" s="167">
        <f t="shared" si="24"/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167">
        <f t="shared" si="25"/>
        <v>0</v>
      </c>
      <c r="AS106" s="167">
        <f t="shared" si="26"/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167">
        <f t="shared" si="27"/>
        <v>0</v>
      </c>
      <c r="BA106" s="29">
        <v>0</v>
      </c>
      <c r="BB106" s="29">
        <v>0</v>
      </c>
      <c r="BC106" s="29">
        <v>0</v>
      </c>
      <c r="BD106" s="29">
        <v>0</v>
      </c>
      <c r="BE106" s="29">
        <v>0</v>
      </c>
      <c r="BF106" s="29">
        <v>0</v>
      </c>
      <c r="BG106" s="29">
        <v>0</v>
      </c>
      <c r="BH106" s="29">
        <v>0</v>
      </c>
      <c r="BI106" s="29">
        <v>0</v>
      </c>
      <c r="BJ106" s="167">
        <f t="shared" si="28"/>
        <v>0</v>
      </c>
      <c r="BK106" s="167">
        <f t="shared" si="29"/>
        <v>0</v>
      </c>
      <c r="BL106" s="167">
        <f>$BO$9+SUMPRODUCT($D$10:D106,$BK$10:BK106)</f>
        <v>3.8660728931427002</v>
      </c>
      <c r="BM106" s="30">
        <f t="shared" si="30"/>
        <v>4.9000000000000004</v>
      </c>
      <c r="BN106" s="167">
        <f t="shared" si="33"/>
        <v>0</v>
      </c>
      <c r="BO106" s="168">
        <f t="shared" si="31"/>
        <v>0</v>
      </c>
      <c r="BP106" s="40">
        <f t="shared" si="34"/>
        <v>0</v>
      </c>
      <c r="BQ106" s="40">
        <f t="shared" si="35"/>
        <v>0</v>
      </c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x14ac:dyDescent="0.25">
      <c r="A107" s="169">
        <f t="shared" ref="A107:B122" si="39">A106+1</f>
        <v>98</v>
      </c>
      <c r="B107" s="170">
        <f t="shared" si="39"/>
        <v>2121</v>
      </c>
      <c r="C107" s="29">
        <v>4.9000000000000004</v>
      </c>
      <c r="D107" s="167">
        <f t="shared" si="36"/>
        <v>9.2300000000000004E-3</v>
      </c>
      <c r="E107" s="29">
        <v>0</v>
      </c>
      <c r="F107" s="167">
        <f t="shared" si="38"/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167">
        <f t="shared" si="21"/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167">
        <f t="shared" si="22"/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167">
        <f t="shared" si="23"/>
        <v>0</v>
      </c>
      <c r="AD107" s="29">
        <v>0</v>
      </c>
      <c r="AE107" s="29">
        <v>0</v>
      </c>
      <c r="AF107" s="29">
        <v>0</v>
      </c>
      <c r="AG107" s="29">
        <v>0</v>
      </c>
      <c r="AH107" s="167">
        <f t="shared" si="24"/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167">
        <f t="shared" si="25"/>
        <v>0</v>
      </c>
      <c r="AS107" s="167">
        <f t="shared" si="26"/>
        <v>0</v>
      </c>
      <c r="AT107" s="29"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167">
        <f t="shared" si="27"/>
        <v>0</v>
      </c>
      <c r="BA107" s="29">
        <v>0</v>
      </c>
      <c r="BB107" s="29">
        <v>0</v>
      </c>
      <c r="BC107" s="29">
        <v>0</v>
      </c>
      <c r="BD107" s="29">
        <v>0</v>
      </c>
      <c r="BE107" s="29">
        <v>0</v>
      </c>
      <c r="BF107" s="29">
        <v>0</v>
      </c>
      <c r="BG107" s="29">
        <v>0</v>
      </c>
      <c r="BH107" s="29">
        <v>0</v>
      </c>
      <c r="BI107" s="29">
        <v>0</v>
      </c>
      <c r="BJ107" s="167">
        <f t="shared" si="28"/>
        <v>0</v>
      </c>
      <c r="BK107" s="167">
        <f t="shared" si="29"/>
        <v>0</v>
      </c>
      <c r="BL107" s="167">
        <f>$BO$9+SUMPRODUCT($D$10:D107,$BK$10:BK107)</f>
        <v>3.8660728931427002</v>
      </c>
      <c r="BM107" s="30">
        <f t="shared" si="30"/>
        <v>4.9000000000000004</v>
      </c>
      <c r="BN107" s="167">
        <f t="shared" si="33"/>
        <v>0</v>
      </c>
      <c r="BO107" s="168">
        <f t="shared" si="31"/>
        <v>0</v>
      </c>
      <c r="BP107" s="40">
        <f t="shared" si="34"/>
        <v>0</v>
      </c>
      <c r="BQ107" s="40">
        <f t="shared" si="35"/>
        <v>0</v>
      </c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x14ac:dyDescent="0.25">
      <c r="A108" s="169">
        <f t="shared" si="39"/>
        <v>99</v>
      </c>
      <c r="B108" s="170">
        <f t="shared" si="39"/>
        <v>2122</v>
      </c>
      <c r="C108" s="29">
        <v>4.9000000000000004</v>
      </c>
      <c r="D108" s="167">
        <f t="shared" si="36"/>
        <v>8.8000000000000005E-3</v>
      </c>
      <c r="E108" s="29">
        <v>0</v>
      </c>
      <c r="F108" s="167">
        <f t="shared" si="38"/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167">
        <f t="shared" si="21"/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167">
        <f t="shared" si="22"/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167">
        <f t="shared" si="23"/>
        <v>0</v>
      </c>
      <c r="AD108" s="29">
        <v>0</v>
      </c>
      <c r="AE108" s="29">
        <v>0</v>
      </c>
      <c r="AF108" s="29">
        <v>0</v>
      </c>
      <c r="AG108" s="29">
        <v>0</v>
      </c>
      <c r="AH108" s="167">
        <f t="shared" si="24"/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167">
        <f t="shared" si="25"/>
        <v>0</v>
      </c>
      <c r="AS108" s="167">
        <f t="shared" si="26"/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167">
        <f t="shared" si="27"/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0</v>
      </c>
      <c r="BI108" s="29">
        <v>0</v>
      </c>
      <c r="BJ108" s="167">
        <f t="shared" si="28"/>
        <v>0</v>
      </c>
      <c r="BK108" s="167">
        <f t="shared" si="29"/>
        <v>0</v>
      </c>
      <c r="BL108" s="167">
        <f>$BO$9+SUMPRODUCT($D$10:D108,$BK$10:BK108)</f>
        <v>3.8660728931427002</v>
      </c>
      <c r="BM108" s="30">
        <f t="shared" si="30"/>
        <v>4.9000000000000004</v>
      </c>
      <c r="BN108" s="167">
        <f t="shared" si="33"/>
        <v>0</v>
      </c>
      <c r="BO108" s="168">
        <f t="shared" si="31"/>
        <v>0</v>
      </c>
      <c r="BP108" s="40">
        <f t="shared" si="34"/>
        <v>0</v>
      </c>
      <c r="BQ108" s="40">
        <f t="shared" si="35"/>
        <v>0</v>
      </c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x14ac:dyDescent="0.25">
      <c r="A109" s="169">
        <f t="shared" si="39"/>
        <v>100</v>
      </c>
      <c r="B109" s="170">
        <f t="shared" si="39"/>
        <v>2123</v>
      </c>
      <c r="C109" s="29">
        <v>4.9000000000000004</v>
      </c>
      <c r="D109" s="167">
        <f t="shared" si="36"/>
        <v>8.3899999999999999E-3</v>
      </c>
      <c r="E109" s="29">
        <v>0</v>
      </c>
      <c r="F109" s="167">
        <f t="shared" si="38"/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167">
        <f t="shared" si="21"/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167">
        <f t="shared" si="22"/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167">
        <f t="shared" si="23"/>
        <v>0</v>
      </c>
      <c r="AD109" s="29">
        <v>0</v>
      </c>
      <c r="AE109" s="29">
        <v>0</v>
      </c>
      <c r="AF109" s="29">
        <v>0</v>
      </c>
      <c r="AG109" s="29">
        <v>0</v>
      </c>
      <c r="AH109" s="167">
        <f t="shared" si="24"/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167">
        <f t="shared" si="25"/>
        <v>0</v>
      </c>
      <c r="AS109" s="167">
        <f t="shared" si="26"/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167">
        <f t="shared" si="27"/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29">
        <v>0</v>
      </c>
      <c r="BH109" s="29">
        <v>0</v>
      </c>
      <c r="BI109" s="29">
        <v>0</v>
      </c>
      <c r="BJ109" s="167">
        <f t="shared" si="28"/>
        <v>0</v>
      </c>
      <c r="BK109" s="167">
        <f t="shared" si="29"/>
        <v>0</v>
      </c>
      <c r="BL109" s="167">
        <f>$BO$9+SUMPRODUCT($D$10:D109,$BK$10:BK109)</f>
        <v>3.8660728931427002</v>
      </c>
      <c r="BM109" s="30">
        <f t="shared" si="30"/>
        <v>4.9000000000000004</v>
      </c>
      <c r="BN109" s="167">
        <f t="shared" si="33"/>
        <v>0</v>
      </c>
      <c r="BO109" s="168">
        <f t="shared" si="31"/>
        <v>0</v>
      </c>
      <c r="BP109" s="40">
        <f t="shared" si="34"/>
        <v>0</v>
      </c>
      <c r="BQ109" s="40">
        <f t="shared" si="35"/>
        <v>0</v>
      </c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x14ac:dyDescent="0.25">
      <c r="A110" s="169">
        <f t="shared" si="39"/>
        <v>101</v>
      </c>
      <c r="B110" s="170">
        <f t="shared" si="39"/>
        <v>2124</v>
      </c>
      <c r="C110" s="29">
        <v>4.9000000000000004</v>
      </c>
      <c r="D110" s="167">
        <f t="shared" si="36"/>
        <v>8.0000000000000002E-3</v>
      </c>
      <c r="E110" s="29">
        <v>0</v>
      </c>
      <c r="F110" s="167">
        <f t="shared" si="38"/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167">
        <f t="shared" si="21"/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167">
        <f t="shared" si="22"/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167">
        <f t="shared" si="23"/>
        <v>0</v>
      </c>
      <c r="AD110" s="29">
        <v>0</v>
      </c>
      <c r="AE110" s="29">
        <v>0</v>
      </c>
      <c r="AF110" s="29">
        <v>0</v>
      </c>
      <c r="AG110" s="29">
        <v>0</v>
      </c>
      <c r="AH110" s="167">
        <f t="shared" si="24"/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167">
        <f t="shared" si="25"/>
        <v>0</v>
      </c>
      <c r="AS110" s="167">
        <f t="shared" si="26"/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167">
        <f t="shared" si="27"/>
        <v>0</v>
      </c>
      <c r="BA110" s="29">
        <v>0</v>
      </c>
      <c r="BB110" s="29">
        <v>0</v>
      </c>
      <c r="BC110" s="29">
        <v>0</v>
      </c>
      <c r="BD110" s="29">
        <v>0</v>
      </c>
      <c r="BE110" s="29">
        <v>0</v>
      </c>
      <c r="BF110" s="29">
        <v>0</v>
      </c>
      <c r="BG110" s="29">
        <v>0</v>
      </c>
      <c r="BH110" s="29">
        <v>0</v>
      </c>
      <c r="BI110" s="29">
        <v>0</v>
      </c>
      <c r="BJ110" s="167">
        <f t="shared" si="28"/>
        <v>0</v>
      </c>
      <c r="BK110" s="167">
        <f t="shared" si="29"/>
        <v>0</v>
      </c>
      <c r="BL110" s="167">
        <f>$BO$9+SUMPRODUCT($D$10:D110,$BK$10:BK110)</f>
        <v>3.8660728931427002</v>
      </c>
      <c r="BM110" s="30">
        <f t="shared" si="30"/>
        <v>4.9000000000000004</v>
      </c>
      <c r="BN110" s="167">
        <f t="shared" si="33"/>
        <v>0</v>
      </c>
      <c r="BO110" s="168">
        <f t="shared" si="31"/>
        <v>0</v>
      </c>
      <c r="BP110" s="40">
        <f t="shared" si="34"/>
        <v>0</v>
      </c>
      <c r="BQ110" s="40">
        <f t="shared" si="35"/>
        <v>0</v>
      </c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x14ac:dyDescent="0.25">
      <c r="A111" s="169">
        <f t="shared" si="39"/>
        <v>102</v>
      </c>
      <c r="B111" s="170">
        <f t="shared" si="39"/>
        <v>2125</v>
      </c>
      <c r="C111" s="29">
        <v>4.9000000000000004</v>
      </c>
      <c r="D111" s="167">
        <f t="shared" si="36"/>
        <v>7.6299999999999996E-3</v>
      </c>
      <c r="E111" s="29">
        <v>0</v>
      </c>
      <c r="F111" s="167">
        <f t="shared" si="38"/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167">
        <f t="shared" si="21"/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167">
        <f t="shared" si="22"/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167">
        <f t="shared" si="23"/>
        <v>0</v>
      </c>
      <c r="AD111" s="29">
        <v>0</v>
      </c>
      <c r="AE111" s="29">
        <v>0</v>
      </c>
      <c r="AF111" s="29">
        <v>0</v>
      </c>
      <c r="AG111" s="29">
        <v>0</v>
      </c>
      <c r="AH111" s="167">
        <f t="shared" si="24"/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167">
        <f t="shared" si="25"/>
        <v>0</v>
      </c>
      <c r="AS111" s="167">
        <f t="shared" si="26"/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167">
        <f t="shared" si="27"/>
        <v>0</v>
      </c>
      <c r="BA111" s="29">
        <v>0</v>
      </c>
      <c r="BB111" s="29">
        <v>0</v>
      </c>
      <c r="BC111" s="29">
        <v>0</v>
      </c>
      <c r="BD111" s="29">
        <v>0</v>
      </c>
      <c r="BE111" s="29">
        <v>0</v>
      </c>
      <c r="BF111" s="29">
        <v>0</v>
      </c>
      <c r="BG111" s="29">
        <v>0</v>
      </c>
      <c r="BH111" s="29">
        <v>0</v>
      </c>
      <c r="BI111" s="29">
        <v>0</v>
      </c>
      <c r="BJ111" s="167">
        <f t="shared" si="28"/>
        <v>0</v>
      </c>
      <c r="BK111" s="167">
        <f t="shared" si="29"/>
        <v>0</v>
      </c>
      <c r="BL111" s="167">
        <f>$BO$9+SUMPRODUCT($D$10:D111,$BK$10:BK111)</f>
        <v>3.8660728931427002</v>
      </c>
      <c r="BM111" s="30">
        <f t="shared" si="30"/>
        <v>4.9000000000000004</v>
      </c>
      <c r="BN111" s="167">
        <f t="shared" si="33"/>
        <v>0</v>
      </c>
      <c r="BO111" s="168">
        <f t="shared" si="31"/>
        <v>0</v>
      </c>
      <c r="BP111" s="40">
        <f t="shared" si="34"/>
        <v>0</v>
      </c>
      <c r="BQ111" s="40">
        <f t="shared" si="35"/>
        <v>0</v>
      </c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x14ac:dyDescent="0.25">
      <c r="A112" s="169">
        <f t="shared" si="39"/>
        <v>103</v>
      </c>
      <c r="B112" s="170">
        <f t="shared" si="39"/>
        <v>2126</v>
      </c>
      <c r="C112" s="29">
        <v>4.9000000000000004</v>
      </c>
      <c r="D112" s="167">
        <f t="shared" si="36"/>
        <v>7.2700000000000004E-3</v>
      </c>
      <c r="E112" s="29">
        <v>0</v>
      </c>
      <c r="F112" s="167">
        <f t="shared" si="38"/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167">
        <f t="shared" si="21"/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167">
        <f t="shared" si="22"/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167">
        <f t="shared" si="23"/>
        <v>0</v>
      </c>
      <c r="AD112" s="29">
        <v>0</v>
      </c>
      <c r="AE112" s="29">
        <v>0</v>
      </c>
      <c r="AF112" s="29">
        <v>0</v>
      </c>
      <c r="AG112" s="29">
        <v>0</v>
      </c>
      <c r="AH112" s="167">
        <f t="shared" si="24"/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167">
        <f t="shared" si="25"/>
        <v>0</v>
      </c>
      <c r="AS112" s="167">
        <f t="shared" si="26"/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167">
        <f t="shared" si="27"/>
        <v>0</v>
      </c>
      <c r="BA112" s="29">
        <v>0</v>
      </c>
      <c r="BB112" s="29">
        <v>0</v>
      </c>
      <c r="BC112" s="29">
        <v>0</v>
      </c>
      <c r="BD112" s="29">
        <v>0</v>
      </c>
      <c r="BE112" s="29">
        <v>0</v>
      </c>
      <c r="BF112" s="29">
        <v>0</v>
      </c>
      <c r="BG112" s="29">
        <v>0</v>
      </c>
      <c r="BH112" s="29">
        <v>0</v>
      </c>
      <c r="BI112" s="29">
        <v>0</v>
      </c>
      <c r="BJ112" s="167">
        <f t="shared" si="28"/>
        <v>0</v>
      </c>
      <c r="BK112" s="167">
        <f t="shared" si="29"/>
        <v>0</v>
      </c>
      <c r="BL112" s="167">
        <f>$BO$9+SUMPRODUCT($D$10:D112,$BK$10:BK112)</f>
        <v>3.8660728931427002</v>
      </c>
      <c r="BM112" s="30">
        <f t="shared" si="30"/>
        <v>4.9000000000000004</v>
      </c>
      <c r="BN112" s="167">
        <f t="shared" si="33"/>
        <v>0</v>
      </c>
      <c r="BO112" s="168">
        <f t="shared" si="31"/>
        <v>0</v>
      </c>
      <c r="BP112" s="40">
        <f t="shared" si="34"/>
        <v>0</v>
      </c>
      <c r="BQ112" s="40">
        <f t="shared" si="35"/>
        <v>0</v>
      </c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x14ac:dyDescent="0.25">
      <c r="A113" s="169">
        <f t="shared" si="39"/>
        <v>104</v>
      </c>
      <c r="B113" s="170">
        <f t="shared" si="39"/>
        <v>2127</v>
      </c>
      <c r="C113" s="29">
        <v>4.9000000000000004</v>
      </c>
      <c r="D113" s="167">
        <f t="shared" si="36"/>
        <v>6.9300000000000004E-3</v>
      </c>
      <c r="E113" s="29">
        <v>0</v>
      </c>
      <c r="F113" s="167">
        <f t="shared" si="38"/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167">
        <f t="shared" si="21"/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167">
        <f t="shared" si="22"/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167">
        <f t="shared" si="23"/>
        <v>0</v>
      </c>
      <c r="AD113" s="29">
        <v>0</v>
      </c>
      <c r="AE113" s="29">
        <v>0</v>
      </c>
      <c r="AF113" s="29">
        <v>0</v>
      </c>
      <c r="AG113" s="29">
        <v>0</v>
      </c>
      <c r="AH113" s="167">
        <f t="shared" si="24"/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167">
        <f t="shared" si="25"/>
        <v>0</v>
      </c>
      <c r="AS113" s="167">
        <f t="shared" si="26"/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167">
        <f t="shared" si="27"/>
        <v>0</v>
      </c>
      <c r="BA113" s="29">
        <v>0</v>
      </c>
      <c r="BB113" s="29">
        <v>0</v>
      </c>
      <c r="BC113" s="29">
        <v>0</v>
      </c>
      <c r="BD113" s="29">
        <v>0</v>
      </c>
      <c r="BE113" s="29">
        <v>0</v>
      </c>
      <c r="BF113" s="29">
        <v>0</v>
      </c>
      <c r="BG113" s="29">
        <v>0</v>
      </c>
      <c r="BH113" s="29">
        <v>0</v>
      </c>
      <c r="BI113" s="29">
        <v>0</v>
      </c>
      <c r="BJ113" s="167">
        <f t="shared" si="28"/>
        <v>0</v>
      </c>
      <c r="BK113" s="167">
        <f t="shared" si="29"/>
        <v>0</v>
      </c>
      <c r="BL113" s="167">
        <f>$BO$9+SUMPRODUCT($D$10:D113,$BK$10:BK113)</f>
        <v>3.8660728931427002</v>
      </c>
      <c r="BM113" s="30">
        <f t="shared" si="30"/>
        <v>4.9000000000000004</v>
      </c>
      <c r="BN113" s="167">
        <f t="shared" si="33"/>
        <v>0</v>
      </c>
      <c r="BO113" s="168">
        <f t="shared" si="31"/>
        <v>0</v>
      </c>
      <c r="BP113" s="40">
        <f t="shared" si="34"/>
        <v>0</v>
      </c>
      <c r="BQ113" s="40">
        <f t="shared" si="35"/>
        <v>0</v>
      </c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x14ac:dyDescent="0.25">
      <c r="A114" s="169">
        <f t="shared" si="39"/>
        <v>105</v>
      </c>
      <c r="B114" s="170">
        <f t="shared" si="39"/>
        <v>2128</v>
      </c>
      <c r="C114" s="29">
        <v>4.9000000000000004</v>
      </c>
      <c r="D114" s="167">
        <f t="shared" si="36"/>
        <v>6.6100000000000004E-3</v>
      </c>
      <c r="E114" s="29">
        <v>0</v>
      </c>
      <c r="F114" s="167">
        <f t="shared" si="38"/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167">
        <f t="shared" si="21"/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167">
        <f t="shared" si="22"/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167">
        <f t="shared" si="23"/>
        <v>0</v>
      </c>
      <c r="AD114" s="29">
        <v>0</v>
      </c>
      <c r="AE114" s="29">
        <v>0</v>
      </c>
      <c r="AF114" s="29">
        <v>0</v>
      </c>
      <c r="AG114" s="29">
        <v>0</v>
      </c>
      <c r="AH114" s="167">
        <f t="shared" si="24"/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167">
        <f t="shared" si="25"/>
        <v>0</v>
      </c>
      <c r="AS114" s="167">
        <f t="shared" si="26"/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167">
        <f t="shared" si="27"/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29">
        <v>0</v>
      </c>
      <c r="BH114" s="29">
        <v>0</v>
      </c>
      <c r="BI114" s="29">
        <v>0</v>
      </c>
      <c r="BJ114" s="167">
        <f t="shared" si="28"/>
        <v>0</v>
      </c>
      <c r="BK114" s="167">
        <f t="shared" si="29"/>
        <v>0</v>
      </c>
      <c r="BL114" s="167">
        <f>$BO$9+SUMPRODUCT($D$10:D114,$BK$10:BK114)</f>
        <v>3.8660728931427002</v>
      </c>
      <c r="BM114" s="30">
        <f t="shared" si="30"/>
        <v>4.9000000000000004</v>
      </c>
      <c r="BN114" s="167">
        <f t="shared" si="33"/>
        <v>0</v>
      </c>
      <c r="BO114" s="168">
        <f t="shared" si="31"/>
        <v>0</v>
      </c>
      <c r="BP114" s="40">
        <f t="shared" si="34"/>
        <v>0</v>
      </c>
      <c r="BQ114" s="40">
        <f t="shared" si="35"/>
        <v>0</v>
      </c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x14ac:dyDescent="0.25">
      <c r="A115" s="169">
        <f t="shared" si="39"/>
        <v>106</v>
      </c>
      <c r="B115" s="170">
        <f t="shared" si="39"/>
        <v>2129</v>
      </c>
      <c r="C115" s="29">
        <v>4.9000000000000004</v>
      </c>
      <c r="D115" s="167">
        <f t="shared" si="36"/>
        <v>6.3E-3</v>
      </c>
      <c r="E115" s="29">
        <v>0</v>
      </c>
      <c r="F115" s="167">
        <f t="shared" si="38"/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167">
        <f t="shared" si="21"/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167">
        <f t="shared" si="22"/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167">
        <f t="shared" si="23"/>
        <v>0</v>
      </c>
      <c r="AD115" s="29">
        <v>0</v>
      </c>
      <c r="AE115" s="29">
        <v>0</v>
      </c>
      <c r="AF115" s="29">
        <v>0</v>
      </c>
      <c r="AG115" s="29">
        <v>0</v>
      </c>
      <c r="AH115" s="167">
        <f t="shared" si="24"/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167">
        <f t="shared" si="25"/>
        <v>0</v>
      </c>
      <c r="AS115" s="167">
        <f t="shared" si="26"/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167">
        <f t="shared" si="27"/>
        <v>0</v>
      </c>
      <c r="BA115" s="29">
        <v>0</v>
      </c>
      <c r="BB115" s="29">
        <v>0</v>
      </c>
      <c r="BC115" s="29">
        <v>0</v>
      </c>
      <c r="BD115" s="29">
        <v>0</v>
      </c>
      <c r="BE115" s="29">
        <v>0</v>
      </c>
      <c r="BF115" s="29">
        <v>0</v>
      </c>
      <c r="BG115" s="29">
        <v>0</v>
      </c>
      <c r="BH115" s="29">
        <v>0</v>
      </c>
      <c r="BI115" s="29">
        <v>0</v>
      </c>
      <c r="BJ115" s="167">
        <f t="shared" si="28"/>
        <v>0</v>
      </c>
      <c r="BK115" s="167">
        <f t="shared" si="29"/>
        <v>0</v>
      </c>
      <c r="BL115" s="167">
        <f>$BO$9+SUMPRODUCT($D$10:D115,$BK$10:BK115)</f>
        <v>3.8660728931427002</v>
      </c>
      <c r="BM115" s="30">
        <f t="shared" si="30"/>
        <v>4.9000000000000004</v>
      </c>
      <c r="BN115" s="167">
        <f t="shared" si="33"/>
        <v>0</v>
      </c>
      <c r="BO115" s="168">
        <f t="shared" si="31"/>
        <v>0</v>
      </c>
      <c r="BP115" s="40">
        <f t="shared" si="34"/>
        <v>0</v>
      </c>
      <c r="BQ115" s="40">
        <f t="shared" si="35"/>
        <v>0</v>
      </c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x14ac:dyDescent="0.25">
      <c r="A116" s="169">
        <f t="shared" si="39"/>
        <v>107</v>
      </c>
      <c r="B116" s="170">
        <f t="shared" si="39"/>
        <v>2130</v>
      </c>
      <c r="C116" s="29">
        <v>4.9000000000000004</v>
      </c>
      <c r="D116" s="167">
        <f t="shared" si="36"/>
        <v>6.0099999999999997E-3</v>
      </c>
      <c r="E116" s="29">
        <v>0</v>
      </c>
      <c r="F116" s="167">
        <f t="shared" si="38"/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167">
        <f t="shared" si="21"/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167">
        <f t="shared" si="22"/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167">
        <f t="shared" si="23"/>
        <v>0</v>
      </c>
      <c r="AD116" s="29">
        <v>0</v>
      </c>
      <c r="AE116" s="29">
        <v>0</v>
      </c>
      <c r="AF116" s="29">
        <v>0</v>
      </c>
      <c r="AG116" s="29">
        <v>0</v>
      </c>
      <c r="AH116" s="167">
        <f t="shared" si="24"/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167">
        <f t="shared" si="25"/>
        <v>0</v>
      </c>
      <c r="AS116" s="167">
        <f t="shared" si="26"/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167">
        <f t="shared" si="27"/>
        <v>0</v>
      </c>
      <c r="BA116" s="29">
        <v>0</v>
      </c>
      <c r="BB116" s="29">
        <v>0</v>
      </c>
      <c r="BC116" s="29">
        <v>0</v>
      </c>
      <c r="BD116" s="29">
        <v>0</v>
      </c>
      <c r="BE116" s="29">
        <v>0</v>
      </c>
      <c r="BF116" s="29">
        <v>0</v>
      </c>
      <c r="BG116" s="29">
        <v>0</v>
      </c>
      <c r="BH116" s="29">
        <v>0</v>
      </c>
      <c r="BI116" s="29">
        <v>0</v>
      </c>
      <c r="BJ116" s="167">
        <f t="shared" si="28"/>
        <v>0</v>
      </c>
      <c r="BK116" s="167">
        <f t="shared" si="29"/>
        <v>0</v>
      </c>
      <c r="BL116" s="167">
        <f>$BO$9+SUMPRODUCT($D$10:D116,$BK$10:BK116)</f>
        <v>3.8660728931427002</v>
      </c>
      <c r="BM116" s="30">
        <f t="shared" si="30"/>
        <v>4.9000000000000004</v>
      </c>
      <c r="BN116" s="167">
        <f t="shared" si="33"/>
        <v>0</v>
      </c>
      <c r="BO116" s="168">
        <f t="shared" si="31"/>
        <v>0</v>
      </c>
      <c r="BP116" s="40">
        <f t="shared" si="34"/>
        <v>0</v>
      </c>
      <c r="BQ116" s="40">
        <f t="shared" si="35"/>
        <v>0</v>
      </c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x14ac:dyDescent="0.25">
      <c r="A117" s="169">
        <f t="shared" si="39"/>
        <v>108</v>
      </c>
      <c r="B117" s="170">
        <f t="shared" si="39"/>
        <v>2131</v>
      </c>
      <c r="C117" s="29">
        <v>4.9000000000000004</v>
      </c>
      <c r="D117" s="167">
        <f t="shared" si="36"/>
        <v>5.7299999999999999E-3</v>
      </c>
      <c r="E117" s="29">
        <v>0</v>
      </c>
      <c r="F117" s="167">
        <f t="shared" si="38"/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167">
        <f t="shared" si="21"/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167">
        <f t="shared" si="22"/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167">
        <f t="shared" si="23"/>
        <v>0</v>
      </c>
      <c r="AD117" s="29">
        <v>0</v>
      </c>
      <c r="AE117" s="29">
        <v>0</v>
      </c>
      <c r="AF117" s="29">
        <v>0</v>
      </c>
      <c r="AG117" s="29">
        <v>0</v>
      </c>
      <c r="AH117" s="167">
        <f t="shared" si="24"/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167">
        <f t="shared" si="25"/>
        <v>0</v>
      </c>
      <c r="AS117" s="167">
        <f t="shared" si="26"/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167">
        <f t="shared" si="27"/>
        <v>0</v>
      </c>
      <c r="BA117" s="29">
        <v>0</v>
      </c>
      <c r="BB117" s="29">
        <v>0</v>
      </c>
      <c r="BC117" s="29">
        <v>0</v>
      </c>
      <c r="BD117" s="29">
        <v>0</v>
      </c>
      <c r="BE117" s="29">
        <v>0</v>
      </c>
      <c r="BF117" s="29">
        <v>0</v>
      </c>
      <c r="BG117" s="29">
        <v>0</v>
      </c>
      <c r="BH117" s="29">
        <v>0</v>
      </c>
      <c r="BI117" s="29">
        <v>0</v>
      </c>
      <c r="BJ117" s="167">
        <f t="shared" si="28"/>
        <v>0</v>
      </c>
      <c r="BK117" s="167">
        <f t="shared" si="29"/>
        <v>0</v>
      </c>
      <c r="BL117" s="167">
        <f>$BO$9+SUMPRODUCT($D$10:D117,$BK$10:BK117)</f>
        <v>3.8660728931427002</v>
      </c>
      <c r="BM117" s="30">
        <f t="shared" si="30"/>
        <v>4.9000000000000004</v>
      </c>
      <c r="BN117" s="167">
        <f t="shared" si="33"/>
        <v>0</v>
      </c>
      <c r="BO117" s="168">
        <f t="shared" si="31"/>
        <v>0</v>
      </c>
      <c r="BP117" s="40">
        <f t="shared" si="34"/>
        <v>0</v>
      </c>
      <c r="BQ117" s="40">
        <f t="shared" si="35"/>
        <v>0</v>
      </c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x14ac:dyDescent="0.25">
      <c r="A118" s="169">
        <f t="shared" si="39"/>
        <v>109</v>
      </c>
      <c r="B118" s="170">
        <f t="shared" si="39"/>
        <v>2132</v>
      </c>
      <c r="C118" s="29">
        <v>4.9000000000000004</v>
      </c>
      <c r="D118" s="167">
        <f t="shared" si="36"/>
        <v>5.4599999999999996E-3</v>
      </c>
      <c r="E118" s="29">
        <v>0</v>
      </c>
      <c r="F118" s="167">
        <f t="shared" si="38"/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167">
        <f t="shared" si="21"/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167">
        <f t="shared" si="22"/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167">
        <f t="shared" si="23"/>
        <v>0</v>
      </c>
      <c r="AD118" s="29">
        <v>0</v>
      </c>
      <c r="AE118" s="29">
        <v>0</v>
      </c>
      <c r="AF118" s="29">
        <v>0</v>
      </c>
      <c r="AG118" s="29">
        <v>0</v>
      </c>
      <c r="AH118" s="167">
        <f t="shared" si="24"/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167">
        <f t="shared" si="25"/>
        <v>0</v>
      </c>
      <c r="AS118" s="167">
        <f t="shared" si="26"/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AZ118" s="167">
        <f t="shared" si="27"/>
        <v>0</v>
      </c>
      <c r="BA118" s="29">
        <v>0</v>
      </c>
      <c r="BB118" s="29">
        <v>0</v>
      </c>
      <c r="BC118" s="29">
        <v>0</v>
      </c>
      <c r="BD118" s="29">
        <v>0</v>
      </c>
      <c r="BE118" s="29">
        <v>0</v>
      </c>
      <c r="BF118" s="29">
        <v>0</v>
      </c>
      <c r="BG118" s="29">
        <v>0</v>
      </c>
      <c r="BH118" s="29">
        <v>0</v>
      </c>
      <c r="BI118" s="29">
        <v>0</v>
      </c>
      <c r="BJ118" s="167">
        <f t="shared" si="28"/>
        <v>0</v>
      </c>
      <c r="BK118" s="167">
        <f t="shared" si="29"/>
        <v>0</v>
      </c>
      <c r="BL118" s="167">
        <f>$BO$9+SUMPRODUCT($D$10:D118,$BK$10:BK118)</f>
        <v>3.8660728931427002</v>
      </c>
      <c r="BM118" s="30">
        <f t="shared" si="30"/>
        <v>4.9000000000000004</v>
      </c>
      <c r="BN118" s="167">
        <f t="shared" si="33"/>
        <v>0</v>
      </c>
      <c r="BO118" s="168">
        <f t="shared" si="31"/>
        <v>0</v>
      </c>
      <c r="BP118" s="40">
        <f t="shared" si="34"/>
        <v>0</v>
      </c>
      <c r="BQ118" s="40">
        <f t="shared" si="35"/>
        <v>0</v>
      </c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x14ac:dyDescent="0.25">
      <c r="A119" s="169">
        <f t="shared" si="39"/>
        <v>110</v>
      </c>
      <c r="B119" s="170">
        <f t="shared" si="39"/>
        <v>2133</v>
      </c>
      <c r="C119" s="29">
        <v>4.9000000000000004</v>
      </c>
      <c r="D119" s="167">
        <f t="shared" si="36"/>
        <v>5.1999999999999998E-3</v>
      </c>
      <c r="E119" s="29">
        <v>0</v>
      </c>
      <c r="F119" s="167">
        <f t="shared" si="38"/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167">
        <f t="shared" si="21"/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167">
        <f t="shared" si="22"/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B119" s="29">
        <v>0</v>
      </c>
      <c r="AC119" s="167">
        <f t="shared" si="23"/>
        <v>0</v>
      </c>
      <c r="AD119" s="29">
        <v>0</v>
      </c>
      <c r="AE119" s="29">
        <v>0</v>
      </c>
      <c r="AF119" s="29">
        <v>0</v>
      </c>
      <c r="AG119" s="29">
        <v>0</v>
      </c>
      <c r="AH119" s="167">
        <f t="shared" si="24"/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167">
        <f t="shared" si="25"/>
        <v>0</v>
      </c>
      <c r="AS119" s="167">
        <f t="shared" si="26"/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167">
        <f t="shared" si="27"/>
        <v>0</v>
      </c>
      <c r="BA119" s="29">
        <v>0</v>
      </c>
      <c r="BB119" s="29">
        <v>0</v>
      </c>
      <c r="BC119" s="29">
        <v>0</v>
      </c>
      <c r="BD119" s="29">
        <v>0</v>
      </c>
      <c r="BE119" s="29">
        <v>0</v>
      </c>
      <c r="BF119" s="29">
        <v>0</v>
      </c>
      <c r="BG119" s="29">
        <v>0</v>
      </c>
      <c r="BH119" s="29">
        <v>0</v>
      </c>
      <c r="BI119" s="29">
        <v>0</v>
      </c>
      <c r="BJ119" s="167">
        <f t="shared" si="28"/>
        <v>0</v>
      </c>
      <c r="BK119" s="167">
        <f t="shared" si="29"/>
        <v>0</v>
      </c>
      <c r="BL119" s="167">
        <f>$BO$9+SUMPRODUCT($D$10:D119,$BK$10:BK119)</f>
        <v>3.8660728931427002</v>
      </c>
      <c r="BM119" s="30">
        <f t="shared" si="30"/>
        <v>4.9000000000000004</v>
      </c>
      <c r="BN119" s="167">
        <f t="shared" si="33"/>
        <v>0</v>
      </c>
      <c r="BO119" s="168">
        <f t="shared" si="31"/>
        <v>0</v>
      </c>
      <c r="BP119" s="40">
        <f t="shared" si="34"/>
        <v>0</v>
      </c>
      <c r="BQ119" s="40">
        <f t="shared" si="35"/>
        <v>0</v>
      </c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x14ac:dyDescent="0.25">
      <c r="A120" s="169">
        <f t="shared" si="39"/>
        <v>111</v>
      </c>
      <c r="B120" s="170">
        <f t="shared" si="39"/>
        <v>2134</v>
      </c>
      <c r="C120" s="29">
        <v>4.9000000000000004</v>
      </c>
      <c r="D120" s="167">
        <f t="shared" si="36"/>
        <v>4.96E-3</v>
      </c>
      <c r="E120" s="29">
        <v>0</v>
      </c>
      <c r="F120" s="167">
        <f t="shared" si="38"/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167">
        <f t="shared" si="21"/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167">
        <f t="shared" si="22"/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167">
        <f t="shared" si="23"/>
        <v>0</v>
      </c>
      <c r="AD120" s="29">
        <v>0</v>
      </c>
      <c r="AE120" s="29">
        <v>0</v>
      </c>
      <c r="AF120" s="29">
        <v>0</v>
      </c>
      <c r="AG120" s="29">
        <v>0</v>
      </c>
      <c r="AH120" s="167">
        <f t="shared" si="24"/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167">
        <f t="shared" si="25"/>
        <v>0</v>
      </c>
      <c r="AS120" s="167">
        <f t="shared" si="26"/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167">
        <f t="shared" si="27"/>
        <v>0</v>
      </c>
      <c r="BA120" s="29">
        <v>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  <c r="BH120" s="29">
        <v>0</v>
      </c>
      <c r="BI120" s="29">
        <v>0</v>
      </c>
      <c r="BJ120" s="167">
        <f t="shared" si="28"/>
        <v>0</v>
      </c>
      <c r="BK120" s="167">
        <f t="shared" si="29"/>
        <v>0</v>
      </c>
      <c r="BL120" s="167">
        <f>$BO$9+SUMPRODUCT($D$10:D120,$BK$10:BK120)</f>
        <v>3.8660728931427002</v>
      </c>
      <c r="BM120" s="30">
        <f t="shared" si="30"/>
        <v>4.9000000000000004</v>
      </c>
      <c r="BN120" s="167">
        <f t="shared" si="33"/>
        <v>0</v>
      </c>
      <c r="BO120" s="168">
        <f t="shared" si="31"/>
        <v>0</v>
      </c>
      <c r="BP120" s="40">
        <f t="shared" si="34"/>
        <v>0</v>
      </c>
      <c r="BQ120" s="40">
        <f t="shared" si="35"/>
        <v>0</v>
      </c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x14ac:dyDescent="0.25">
      <c r="A121" s="169">
        <f t="shared" si="39"/>
        <v>112</v>
      </c>
      <c r="B121" s="170">
        <f t="shared" si="39"/>
        <v>2135</v>
      </c>
      <c r="C121" s="29">
        <v>4.9000000000000004</v>
      </c>
      <c r="D121" s="167">
        <f t="shared" si="36"/>
        <v>4.7299999999999998E-3</v>
      </c>
      <c r="E121" s="29">
        <v>0</v>
      </c>
      <c r="F121" s="167">
        <f t="shared" si="38"/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167">
        <f t="shared" si="21"/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167">
        <f t="shared" si="22"/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167">
        <f t="shared" si="23"/>
        <v>0</v>
      </c>
      <c r="AD121" s="29">
        <v>0</v>
      </c>
      <c r="AE121" s="29">
        <v>0</v>
      </c>
      <c r="AF121" s="29">
        <v>0</v>
      </c>
      <c r="AG121" s="29">
        <v>0</v>
      </c>
      <c r="AH121" s="167">
        <f t="shared" si="24"/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167">
        <f t="shared" si="25"/>
        <v>0</v>
      </c>
      <c r="AS121" s="167">
        <f t="shared" si="26"/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167">
        <f t="shared" si="27"/>
        <v>0</v>
      </c>
      <c r="BA121" s="29">
        <v>0</v>
      </c>
      <c r="BB121" s="29">
        <v>0</v>
      </c>
      <c r="BC121" s="29">
        <v>0</v>
      </c>
      <c r="BD121" s="29">
        <v>0</v>
      </c>
      <c r="BE121" s="29">
        <v>0</v>
      </c>
      <c r="BF121" s="29">
        <v>0</v>
      </c>
      <c r="BG121" s="29">
        <v>0</v>
      </c>
      <c r="BH121" s="29">
        <v>0</v>
      </c>
      <c r="BI121" s="29">
        <v>0</v>
      </c>
      <c r="BJ121" s="167">
        <f t="shared" si="28"/>
        <v>0</v>
      </c>
      <c r="BK121" s="167">
        <f t="shared" si="29"/>
        <v>0</v>
      </c>
      <c r="BL121" s="167">
        <f>$BO$9+SUMPRODUCT($D$10:D121,$BK$10:BK121)</f>
        <v>3.8660728931427002</v>
      </c>
      <c r="BM121" s="30">
        <f t="shared" si="30"/>
        <v>4.9000000000000004</v>
      </c>
      <c r="BN121" s="167">
        <f t="shared" si="33"/>
        <v>0</v>
      </c>
      <c r="BO121" s="168">
        <f t="shared" si="31"/>
        <v>0</v>
      </c>
      <c r="BP121" s="40">
        <f t="shared" si="34"/>
        <v>0</v>
      </c>
      <c r="BQ121" s="40">
        <f t="shared" si="35"/>
        <v>0</v>
      </c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x14ac:dyDescent="0.25">
      <c r="A122" s="169">
        <f t="shared" si="39"/>
        <v>113</v>
      </c>
      <c r="B122" s="170">
        <f t="shared" si="39"/>
        <v>2136</v>
      </c>
      <c r="C122" s="29">
        <v>4.9000000000000004</v>
      </c>
      <c r="D122" s="167">
        <f t="shared" si="36"/>
        <v>4.5100000000000001E-3</v>
      </c>
      <c r="E122" s="29">
        <v>0</v>
      </c>
      <c r="F122" s="167">
        <f t="shared" si="38"/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167">
        <f t="shared" si="21"/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167">
        <f t="shared" si="22"/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167">
        <f t="shared" si="23"/>
        <v>0</v>
      </c>
      <c r="AD122" s="29">
        <v>0</v>
      </c>
      <c r="AE122" s="29">
        <v>0</v>
      </c>
      <c r="AF122" s="29">
        <v>0</v>
      </c>
      <c r="AG122" s="29">
        <v>0</v>
      </c>
      <c r="AH122" s="167">
        <f t="shared" si="24"/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167">
        <f t="shared" si="25"/>
        <v>0</v>
      </c>
      <c r="AS122" s="167">
        <f t="shared" si="26"/>
        <v>0</v>
      </c>
      <c r="AT122" s="29"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AZ122" s="167">
        <f t="shared" si="27"/>
        <v>0</v>
      </c>
      <c r="BA122" s="29">
        <v>0</v>
      </c>
      <c r="BB122" s="29">
        <v>0</v>
      </c>
      <c r="BC122" s="29">
        <v>0</v>
      </c>
      <c r="BD122" s="29">
        <v>0</v>
      </c>
      <c r="BE122" s="29">
        <v>0</v>
      </c>
      <c r="BF122" s="29">
        <v>0</v>
      </c>
      <c r="BG122" s="29">
        <v>0</v>
      </c>
      <c r="BH122" s="29">
        <v>0</v>
      </c>
      <c r="BI122" s="29">
        <v>0</v>
      </c>
      <c r="BJ122" s="167">
        <f t="shared" si="28"/>
        <v>0</v>
      </c>
      <c r="BK122" s="167">
        <f t="shared" si="29"/>
        <v>0</v>
      </c>
      <c r="BL122" s="167">
        <f>$BO$9+SUMPRODUCT($D$10:D122,$BK$10:BK122)</f>
        <v>3.8660728931427002</v>
      </c>
      <c r="BM122" s="30">
        <f t="shared" si="30"/>
        <v>4.9000000000000004</v>
      </c>
      <c r="BN122" s="167">
        <f t="shared" si="33"/>
        <v>0</v>
      </c>
      <c r="BO122" s="168">
        <f t="shared" si="31"/>
        <v>0</v>
      </c>
      <c r="BP122" s="40">
        <f t="shared" si="34"/>
        <v>0</v>
      </c>
      <c r="BQ122" s="40">
        <f t="shared" si="35"/>
        <v>0</v>
      </c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x14ac:dyDescent="0.25">
      <c r="A123" s="169">
        <f t="shared" ref="A123:B138" si="40">A122+1</f>
        <v>114</v>
      </c>
      <c r="B123" s="170">
        <f t="shared" si="40"/>
        <v>2137</v>
      </c>
      <c r="C123" s="29">
        <v>4.9000000000000004</v>
      </c>
      <c r="D123" s="167">
        <f t="shared" si="36"/>
        <v>4.3E-3</v>
      </c>
      <c r="E123" s="29">
        <v>0</v>
      </c>
      <c r="F123" s="167">
        <f t="shared" si="38"/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167">
        <f t="shared" si="21"/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167">
        <f t="shared" si="22"/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167">
        <f t="shared" si="23"/>
        <v>0</v>
      </c>
      <c r="AD123" s="29">
        <v>0</v>
      </c>
      <c r="AE123" s="29">
        <v>0</v>
      </c>
      <c r="AF123" s="29">
        <v>0</v>
      </c>
      <c r="AG123" s="29">
        <v>0</v>
      </c>
      <c r="AH123" s="167">
        <f t="shared" si="24"/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167">
        <f t="shared" si="25"/>
        <v>0</v>
      </c>
      <c r="AS123" s="167">
        <f t="shared" si="26"/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167">
        <f t="shared" si="27"/>
        <v>0</v>
      </c>
      <c r="BA123" s="29">
        <v>0</v>
      </c>
      <c r="BB123" s="29">
        <v>0</v>
      </c>
      <c r="BC123" s="29">
        <v>0</v>
      </c>
      <c r="BD123" s="29">
        <v>0</v>
      </c>
      <c r="BE123" s="29">
        <v>0</v>
      </c>
      <c r="BF123" s="29">
        <v>0</v>
      </c>
      <c r="BG123" s="29">
        <v>0</v>
      </c>
      <c r="BH123" s="29">
        <v>0</v>
      </c>
      <c r="BI123" s="29">
        <v>0</v>
      </c>
      <c r="BJ123" s="167">
        <f t="shared" si="28"/>
        <v>0</v>
      </c>
      <c r="BK123" s="167">
        <f t="shared" si="29"/>
        <v>0</v>
      </c>
      <c r="BL123" s="167">
        <f>$BO$9+SUMPRODUCT($D$10:D123,$BK$10:BK123)</f>
        <v>3.8660728931427002</v>
      </c>
      <c r="BM123" s="30">
        <f t="shared" si="30"/>
        <v>4.9000000000000004</v>
      </c>
      <c r="BN123" s="167">
        <f t="shared" si="33"/>
        <v>0</v>
      </c>
      <c r="BO123" s="168">
        <f t="shared" si="31"/>
        <v>0</v>
      </c>
      <c r="BP123" s="40">
        <f t="shared" si="34"/>
        <v>0</v>
      </c>
      <c r="BQ123" s="40">
        <f t="shared" si="35"/>
        <v>0</v>
      </c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x14ac:dyDescent="0.25">
      <c r="A124" s="169">
        <f t="shared" si="40"/>
        <v>115</v>
      </c>
      <c r="B124" s="170">
        <f t="shared" si="40"/>
        <v>2138</v>
      </c>
      <c r="C124" s="29">
        <v>4.9000000000000004</v>
      </c>
      <c r="D124" s="167">
        <f t="shared" si="36"/>
        <v>4.1000000000000003E-3</v>
      </c>
      <c r="E124" s="29">
        <v>0</v>
      </c>
      <c r="F124" s="167">
        <f t="shared" si="38"/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167">
        <f t="shared" si="21"/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167">
        <f t="shared" si="22"/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167">
        <f t="shared" si="23"/>
        <v>0</v>
      </c>
      <c r="AD124" s="29">
        <v>0</v>
      </c>
      <c r="AE124" s="29">
        <v>0</v>
      </c>
      <c r="AF124" s="29">
        <v>0</v>
      </c>
      <c r="AG124" s="29">
        <v>0</v>
      </c>
      <c r="AH124" s="167">
        <f t="shared" si="24"/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167">
        <f t="shared" si="25"/>
        <v>0</v>
      </c>
      <c r="AS124" s="167">
        <f t="shared" si="26"/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167">
        <f t="shared" si="27"/>
        <v>0</v>
      </c>
      <c r="BA124" s="29">
        <v>0</v>
      </c>
      <c r="BB124" s="29">
        <v>0</v>
      </c>
      <c r="BC124" s="29">
        <v>0</v>
      </c>
      <c r="BD124" s="29">
        <v>0</v>
      </c>
      <c r="BE124" s="29">
        <v>0</v>
      </c>
      <c r="BF124" s="29">
        <v>0</v>
      </c>
      <c r="BG124" s="29">
        <v>0</v>
      </c>
      <c r="BH124" s="29">
        <v>0</v>
      </c>
      <c r="BI124" s="29">
        <v>0</v>
      </c>
      <c r="BJ124" s="167">
        <f t="shared" si="28"/>
        <v>0</v>
      </c>
      <c r="BK124" s="167">
        <f t="shared" si="29"/>
        <v>0</v>
      </c>
      <c r="BL124" s="167">
        <f>$BO$9+SUMPRODUCT($D$10:D124,$BK$10:BK124)</f>
        <v>3.8660728931427002</v>
      </c>
      <c r="BM124" s="30">
        <f t="shared" si="30"/>
        <v>4.9000000000000004</v>
      </c>
      <c r="BN124" s="167">
        <f t="shared" si="33"/>
        <v>0</v>
      </c>
      <c r="BO124" s="168">
        <f t="shared" si="31"/>
        <v>0</v>
      </c>
      <c r="BP124" s="40">
        <f t="shared" si="34"/>
        <v>0</v>
      </c>
      <c r="BQ124" s="40">
        <f t="shared" si="35"/>
        <v>0</v>
      </c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x14ac:dyDescent="0.25">
      <c r="A125" s="169">
        <f t="shared" si="40"/>
        <v>116</v>
      </c>
      <c r="B125" s="170">
        <f t="shared" si="40"/>
        <v>2139</v>
      </c>
      <c r="C125" s="29">
        <v>4.9000000000000004</v>
      </c>
      <c r="D125" s="167">
        <f t="shared" si="36"/>
        <v>3.9100000000000003E-3</v>
      </c>
      <c r="E125" s="29">
        <v>0</v>
      </c>
      <c r="F125" s="167">
        <f t="shared" si="38"/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167">
        <f t="shared" si="21"/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167">
        <f t="shared" si="22"/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167">
        <f t="shared" si="23"/>
        <v>0</v>
      </c>
      <c r="AD125" s="29">
        <v>0</v>
      </c>
      <c r="AE125" s="29">
        <v>0</v>
      </c>
      <c r="AF125" s="29">
        <v>0</v>
      </c>
      <c r="AG125" s="29">
        <v>0</v>
      </c>
      <c r="AH125" s="167">
        <f t="shared" si="24"/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167">
        <f t="shared" si="25"/>
        <v>0</v>
      </c>
      <c r="AS125" s="167">
        <f t="shared" si="26"/>
        <v>0</v>
      </c>
      <c r="AT125" s="29">
        <v>0</v>
      </c>
      <c r="AU125" s="29">
        <v>0</v>
      </c>
      <c r="AV125" s="29">
        <v>0</v>
      </c>
      <c r="AW125" s="29">
        <v>0</v>
      </c>
      <c r="AX125" s="29">
        <v>0</v>
      </c>
      <c r="AY125" s="29">
        <v>0</v>
      </c>
      <c r="AZ125" s="167">
        <f t="shared" si="27"/>
        <v>0</v>
      </c>
      <c r="BA125" s="29">
        <v>0</v>
      </c>
      <c r="BB125" s="29">
        <v>0</v>
      </c>
      <c r="BC125" s="29">
        <v>0</v>
      </c>
      <c r="BD125" s="29">
        <v>0</v>
      </c>
      <c r="BE125" s="29">
        <v>0</v>
      </c>
      <c r="BF125" s="29">
        <v>0</v>
      </c>
      <c r="BG125" s="29">
        <v>0</v>
      </c>
      <c r="BH125" s="29">
        <v>0</v>
      </c>
      <c r="BI125" s="29">
        <v>0</v>
      </c>
      <c r="BJ125" s="167">
        <f t="shared" si="28"/>
        <v>0</v>
      </c>
      <c r="BK125" s="167">
        <f t="shared" si="29"/>
        <v>0</v>
      </c>
      <c r="BL125" s="167">
        <f>$BO$9+SUMPRODUCT($D$10:D125,$BK$10:BK125)</f>
        <v>3.8660728931427002</v>
      </c>
      <c r="BM125" s="30">
        <f t="shared" si="30"/>
        <v>4.9000000000000004</v>
      </c>
      <c r="BN125" s="167">
        <f t="shared" si="33"/>
        <v>0</v>
      </c>
      <c r="BO125" s="168">
        <f t="shared" si="31"/>
        <v>0</v>
      </c>
      <c r="BP125" s="40">
        <f t="shared" si="34"/>
        <v>0</v>
      </c>
      <c r="BQ125" s="40">
        <f t="shared" si="35"/>
        <v>0</v>
      </c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x14ac:dyDescent="0.25">
      <c r="A126" s="169">
        <f t="shared" si="40"/>
        <v>117</v>
      </c>
      <c r="B126" s="170">
        <f t="shared" si="40"/>
        <v>2140</v>
      </c>
      <c r="C126" s="29">
        <v>4.9000000000000004</v>
      </c>
      <c r="D126" s="167">
        <f t="shared" si="36"/>
        <v>3.7299999999999998E-3</v>
      </c>
      <c r="E126" s="29">
        <v>0</v>
      </c>
      <c r="F126" s="167">
        <f t="shared" si="38"/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167">
        <f t="shared" si="21"/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167">
        <f t="shared" si="22"/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167">
        <f t="shared" si="23"/>
        <v>0</v>
      </c>
      <c r="AD126" s="29">
        <v>0</v>
      </c>
      <c r="AE126" s="29">
        <v>0</v>
      </c>
      <c r="AF126" s="29">
        <v>0</v>
      </c>
      <c r="AG126" s="29">
        <v>0</v>
      </c>
      <c r="AH126" s="167">
        <f t="shared" si="24"/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167">
        <f t="shared" si="25"/>
        <v>0</v>
      </c>
      <c r="AS126" s="167">
        <f t="shared" si="26"/>
        <v>0</v>
      </c>
      <c r="AT126" s="29">
        <v>0</v>
      </c>
      <c r="AU126" s="29">
        <v>0</v>
      </c>
      <c r="AV126" s="29">
        <v>0</v>
      </c>
      <c r="AW126" s="29">
        <v>0</v>
      </c>
      <c r="AX126" s="29">
        <v>0</v>
      </c>
      <c r="AY126" s="29">
        <v>0</v>
      </c>
      <c r="AZ126" s="167">
        <f t="shared" si="27"/>
        <v>0</v>
      </c>
      <c r="BA126" s="29">
        <v>0</v>
      </c>
      <c r="BB126" s="29">
        <v>0</v>
      </c>
      <c r="BC126" s="29">
        <v>0</v>
      </c>
      <c r="BD126" s="29">
        <v>0</v>
      </c>
      <c r="BE126" s="29">
        <v>0</v>
      </c>
      <c r="BF126" s="29">
        <v>0</v>
      </c>
      <c r="BG126" s="29">
        <v>0</v>
      </c>
      <c r="BH126" s="29">
        <v>0</v>
      </c>
      <c r="BI126" s="29">
        <v>0</v>
      </c>
      <c r="BJ126" s="167">
        <f t="shared" si="28"/>
        <v>0</v>
      </c>
      <c r="BK126" s="167">
        <f t="shared" si="29"/>
        <v>0</v>
      </c>
      <c r="BL126" s="167">
        <f>$BO$9+SUMPRODUCT($D$10:D126,$BK$10:BK126)</f>
        <v>3.8660728931427002</v>
      </c>
      <c r="BM126" s="30">
        <f t="shared" si="30"/>
        <v>4.9000000000000004</v>
      </c>
      <c r="BN126" s="167">
        <f t="shared" si="33"/>
        <v>0</v>
      </c>
      <c r="BO126" s="168">
        <f t="shared" si="31"/>
        <v>0</v>
      </c>
      <c r="BP126" s="40">
        <f t="shared" si="34"/>
        <v>0</v>
      </c>
      <c r="BQ126" s="40">
        <f t="shared" si="35"/>
        <v>0</v>
      </c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x14ac:dyDescent="0.25">
      <c r="A127" s="169">
        <f t="shared" si="40"/>
        <v>118</v>
      </c>
      <c r="B127" s="170">
        <f t="shared" si="40"/>
        <v>2141</v>
      </c>
      <c r="C127" s="29">
        <v>4.9000000000000004</v>
      </c>
      <c r="D127" s="167">
        <f t="shared" si="36"/>
        <v>3.5599999999999998E-3</v>
      </c>
      <c r="E127" s="29">
        <v>0</v>
      </c>
      <c r="F127" s="167">
        <f t="shared" si="38"/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167">
        <f t="shared" si="21"/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167">
        <f t="shared" si="22"/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167">
        <f t="shared" si="23"/>
        <v>0</v>
      </c>
      <c r="AD127" s="29">
        <v>0</v>
      </c>
      <c r="AE127" s="29">
        <v>0</v>
      </c>
      <c r="AF127" s="29">
        <v>0</v>
      </c>
      <c r="AG127" s="29">
        <v>0</v>
      </c>
      <c r="AH127" s="167">
        <f t="shared" si="24"/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167">
        <f t="shared" si="25"/>
        <v>0</v>
      </c>
      <c r="AS127" s="167">
        <f t="shared" si="26"/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167">
        <f t="shared" si="27"/>
        <v>0</v>
      </c>
      <c r="BA127" s="29">
        <v>0</v>
      </c>
      <c r="BB127" s="29">
        <v>0</v>
      </c>
      <c r="BC127" s="29">
        <v>0</v>
      </c>
      <c r="BD127" s="29">
        <v>0</v>
      </c>
      <c r="BE127" s="29">
        <v>0</v>
      </c>
      <c r="BF127" s="29">
        <v>0</v>
      </c>
      <c r="BG127" s="29">
        <v>0</v>
      </c>
      <c r="BH127" s="29">
        <v>0</v>
      </c>
      <c r="BI127" s="29">
        <v>0</v>
      </c>
      <c r="BJ127" s="167">
        <f t="shared" si="28"/>
        <v>0</v>
      </c>
      <c r="BK127" s="167">
        <f t="shared" si="29"/>
        <v>0</v>
      </c>
      <c r="BL127" s="167">
        <f>$BO$9+SUMPRODUCT($D$10:D127,$BK$10:BK127)</f>
        <v>3.8660728931427002</v>
      </c>
      <c r="BM127" s="30">
        <f t="shared" si="30"/>
        <v>4.9000000000000004</v>
      </c>
      <c r="BN127" s="167">
        <f t="shared" si="33"/>
        <v>0</v>
      </c>
      <c r="BO127" s="168">
        <f t="shared" si="31"/>
        <v>0</v>
      </c>
      <c r="BP127" s="40">
        <f t="shared" si="34"/>
        <v>0</v>
      </c>
      <c r="BQ127" s="40">
        <f t="shared" si="35"/>
        <v>0</v>
      </c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x14ac:dyDescent="0.25">
      <c r="A128" s="169">
        <f t="shared" si="40"/>
        <v>119</v>
      </c>
      <c r="B128" s="170">
        <f t="shared" si="40"/>
        <v>2142</v>
      </c>
      <c r="C128" s="29">
        <v>4.9000000000000004</v>
      </c>
      <c r="D128" s="167">
        <f t="shared" si="36"/>
        <v>3.3899999999999998E-3</v>
      </c>
      <c r="E128" s="29">
        <v>0</v>
      </c>
      <c r="F128" s="167">
        <f t="shared" si="38"/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167">
        <f t="shared" si="21"/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167">
        <f t="shared" si="22"/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167">
        <f t="shared" si="23"/>
        <v>0</v>
      </c>
      <c r="AD128" s="29">
        <v>0</v>
      </c>
      <c r="AE128" s="29">
        <v>0</v>
      </c>
      <c r="AF128" s="29">
        <v>0</v>
      </c>
      <c r="AG128" s="29">
        <v>0</v>
      </c>
      <c r="AH128" s="167">
        <f t="shared" si="24"/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167">
        <f t="shared" si="25"/>
        <v>0</v>
      </c>
      <c r="AS128" s="167">
        <f t="shared" si="26"/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167">
        <f t="shared" si="27"/>
        <v>0</v>
      </c>
      <c r="BA128" s="29">
        <v>0</v>
      </c>
      <c r="BB128" s="29">
        <v>0</v>
      </c>
      <c r="BC128" s="29">
        <v>0</v>
      </c>
      <c r="BD128" s="29">
        <v>0</v>
      </c>
      <c r="BE128" s="29">
        <v>0</v>
      </c>
      <c r="BF128" s="29">
        <v>0</v>
      </c>
      <c r="BG128" s="29">
        <v>0</v>
      </c>
      <c r="BH128" s="29">
        <v>0</v>
      </c>
      <c r="BI128" s="29">
        <v>0</v>
      </c>
      <c r="BJ128" s="167">
        <f t="shared" si="28"/>
        <v>0</v>
      </c>
      <c r="BK128" s="167">
        <f t="shared" si="29"/>
        <v>0</v>
      </c>
      <c r="BL128" s="167">
        <f>$BO$9+SUMPRODUCT($D$10:D128,$BK$10:BK128)</f>
        <v>3.8660728931427002</v>
      </c>
      <c r="BM128" s="30">
        <f t="shared" si="30"/>
        <v>4.9000000000000004</v>
      </c>
      <c r="BN128" s="167">
        <f t="shared" si="33"/>
        <v>0</v>
      </c>
      <c r="BO128" s="168">
        <f t="shared" si="31"/>
        <v>0</v>
      </c>
      <c r="BP128" s="40">
        <f t="shared" si="34"/>
        <v>0</v>
      </c>
      <c r="BQ128" s="40">
        <f t="shared" si="35"/>
        <v>0</v>
      </c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x14ac:dyDescent="0.25">
      <c r="A129" s="169">
        <f t="shared" si="40"/>
        <v>120</v>
      </c>
      <c r="B129" s="170">
        <f t="shared" si="40"/>
        <v>2143</v>
      </c>
      <c r="C129" s="29">
        <v>4.9000000000000004</v>
      </c>
      <c r="D129" s="167">
        <f t="shared" si="36"/>
        <v>3.2299999999999998E-3</v>
      </c>
      <c r="E129" s="29">
        <v>0</v>
      </c>
      <c r="F129" s="167">
        <f t="shared" si="38"/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167">
        <f t="shared" si="21"/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167">
        <f t="shared" si="22"/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167">
        <f t="shared" si="23"/>
        <v>0</v>
      </c>
      <c r="AD129" s="29">
        <v>0</v>
      </c>
      <c r="AE129" s="29">
        <v>0</v>
      </c>
      <c r="AF129" s="29">
        <v>0</v>
      </c>
      <c r="AG129" s="29">
        <v>0</v>
      </c>
      <c r="AH129" s="167">
        <f t="shared" si="24"/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167">
        <f t="shared" si="25"/>
        <v>0</v>
      </c>
      <c r="AS129" s="167">
        <f t="shared" si="26"/>
        <v>0</v>
      </c>
      <c r="AT129" s="29">
        <v>0</v>
      </c>
      <c r="AU129" s="29">
        <v>0</v>
      </c>
      <c r="AV129" s="29">
        <v>0</v>
      </c>
      <c r="AW129" s="29">
        <v>0</v>
      </c>
      <c r="AX129" s="29">
        <v>0</v>
      </c>
      <c r="AY129" s="29">
        <v>0</v>
      </c>
      <c r="AZ129" s="167">
        <f t="shared" si="27"/>
        <v>0</v>
      </c>
      <c r="BA129" s="29">
        <v>0</v>
      </c>
      <c r="BB129" s="29">
        <v>0</v>
      </c>
      <c r="BC129" s="29">
        <v>0</v>
      </c>
      <c r="BD129" s="29">
        <v>0</v>
      </c>
      <c r="BE129" s="29">
        <v>0</v>
      </c>
      <c r="BF129" s="29">
        <v>0</v>
      </c>
      <c r="BG129" s="29">
        <v>0</v>
      </c>
      <c r="BH129" s="29">
        <v>0</v>
      </c>
      <c r="BI129" s="29">
        <v>0</v>
      </c>
      <c r="BJ129" s="167">
        <f t="shared" si="28"/>
        <v>0</v>
      </c>
      <c r="BK129" s="167">
        <f t="shared" si="29"/>
        <v>0</v>
      </c>
      <c r="BL129" s="167">
        <f>$BO$9+SUMPRODUCT($D$10:D129,$BK$10:BK129)</f>
        <v>3.8660728931427002</v>
      </c>
      <c r="BM129" s="30">
        <f t="shared" si="30"/>
        <v>4.9000000000000004</v>
      </c>
      <c r="BN129" s="167">
        <f t="shared" si="33"/>
        <v>0</v>
      </c>
      <c r="BO129" s="168">
        <f t="shared" si="31"/>
        <v>0</v>
      </c>
      <c r="BP129" s="40">
        <f t="shared" si="34"/>
        <v>0</v>
      </c>
      <c r="BQ129" s="40">
        <f t="shared" si="35"/>
        <v>0</v>
      </c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x14ac:dyDescent="0.25">
      <c r="A130" s="169">
        <f t="shared" si="40"/>
        <v>121</v>
      </c>
      <c r="B130" s="170">
        <f t="shared" si="40"/>
        <v>2144</v>
      </c>
      <c r="C130" s="29">
        <v>4.9000000000000004</v>
      </c>
      <c r="D130" s="167">
        <f t="shared" si="36"/>
        <v>3.0799999999999998E-3</v>
      </c>
      <c r="E130" s="29">
        <v>0</v>
      </c>
      <c r="F130" s="167">
        <f t="shared" si="38"/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167">
        <f t="shared" si="21"/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167">
        <f t="shared" si="22"/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B130" s="29">
        <v>0</v>
      </c>
      <c r="AC130" s="167">
        <f t="shared" si="23"/>
        <v>0</v>
      </c>
      <c r="AD130" s="29">
        <v>0</v>
      </c>
      <c r="AE130" s="29">
        <v>0</v>
      </c>
      <c r="AF130" s="29">
        <v>0</v>
      </c>
      <c r="AG130" s="29">
        <v>0</v>
      </c>
      <c r="AH130" s="167">
        <f t="shared" si="24"/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167">
        <f t="shared" si="25"/>
        <v>0</v>
      </c>
      <c r="AS130" s="167">
        <f t="shared" si="26"/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167">
        <f t="shared" si="27"/>
        <v>0</v>
      </c>
      <c r="BA130" s="29">
        <v>0</v>
      </c>
      <c r="BB130" s="29">
        <v>0</v>
      </c>
      <c r="BC130" s="29">
        <v>0</v>
      </c>
      <c r="BD130" s="29">
        <v>0</v>
      </c>
      <c r="BE130" s="29">
        <v>0</v>
      </c>
      <c r="BF130" s="29">
        <v>0</v>
      </c>
      <c r="BG130" s="29">
        <v>0</v>
      </c>
      <c r="BH130" s="29">
        <v>0</v>
      </c>
      <c r="BI130" s="29">
        <v>0</v>
      </c>
      <c r="BJ130" s="167">
        <f t="shared" si="28"/>
        <v>0</v>
      </c>
      <c r="BK130" s="167">
        <f t="shared" si="29"/>
        <v>0</v>
      </c>
      <c r="BL130" s="167">
        <f>$BO$9+SUMPRODUCT($D$10:D130,$BK$10:BK130)</f>
        <v>3.8660728931427002</v>
      </c>
      <c r="BM130" s="30">
        <f t="shared" si="30"/>
        <v>4.9000000000000004</v>
      </c>
      <c r="BN130" s="167">
        <f t="shared" si="33"/>
        <v>0</v>
      </c>
      <c r="BO130" s="168">
        <f t="shared" si="31"/>
        <v>0</v>
      </c>
      <c r="BP130" s="40">
        <f t="shared" si="34"/>
        <v>0</v>
      </c>
      <c r="BQ130" s="40">
        <f t="shared" si="35"/>
        <v>0</v>
      </c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x14ac:dyDescent="0.25">
      <c r="A131" s="169">
        <f t="shared" si="40"/>
        <v>122</v>
      </c>
      <c r="B131" s="170">
        <f t="shared" si="40"/>
        <v>2145</v>
      </c>
      <c r="C131" s="29">
        <v>4.9000000000000004</v>
      </c>
      <c r="D131" s="167">
        <f t="shared" si="36"/>
        <v>2.9399999999999999E-3</v>
      </c>
      <c r="E131" s="29">
        <v>0</v>
      </c>
      <c r="F131" s="167">
        <f t="shared" si="38"/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167">
        <f t="shared" si="21"/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167">
        <f t="shared" si="22"/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167">
        <f t="shared" si="23"/>
        <v>0</v>
      </c>
      <c r="AD131" s="29">
        <v>0</v>
      </c>
      <c r="AE131" s="29">
        <v>0</v>
      </c>
      <c r="AF131" s="29">
        <v>0</v>
      </c>
      <c r="AG131" s="29">
        <v>0</v>
      </c>
      <c r="AH131" s="167">
        <f t="shared" si="24"/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167">
        <f t="shared" si="25"/>
        <v>0</v>
      </c>
      <c r="AS131" s="167">
        <f t="shared" si="26"/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167">
        <f t="shared" si="27"/>
        <v>0</v>
      </c>
      <c r="BA131" s="29">
        <v>0</v>
      </c>
      <c r="BB131" s="29">
        <v>0</v>
      </c>
      <c r="BC131" s="29">
        <v>0</v>
      </c>
      <c r="BD131" s="29">
        <v>0</v>
      </c>
      <c r="BE131" s="29">
        <v>0</v>
      </c>
      <c r="BF131" s="29">
        <v>0</v>
      </c>
      <c r="BG131" s="29">
        <v>0</v>
      </c>
      <c r="BH131" s="29">
        <v>0</v>
      </c>
      <c r="BI131" s="29">
        <v>0</v>
      </c>
      <c r="BJ131" s="167">
        <f t="shared" si="28"/>
        <v>0</v>
      </c>
      <c r="BK131" s="167">
        <f t="shared" si="29"/>
        <v>0</v>
      </c>
      <c r="BL131" s="167">
        <f>$BO$9+SUMPRODUCT($D$10:D131,$BK$10:BK131)</f>
        <v>3.8660728931427002</v>
      </c>
      <c r="BM131" s="30">
        <f t="shared" si="30"/>
        <v>4.9000000000000004</v>
      </c>
      <c r="BN131" s="167">
        <f t="shared" si="33"/>
        <v>0</v>
      </c>
      <c r="BO131" s="168">
        <f t="shared" si="31"/>
        <v>0</v>
      </c>
      <c r="BP131" s="40">
        <f t="shared" si="34"/>
        <v>0</v>
      </c>
      <c r="BQ131" s="40">
        <f t="shared" si="35"/>
        <v>0</v>
      </c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x14ac:dyDescent="0.25">
      <c r="A132" s="169">
        <f t="shared" si="40"/>
        <v>123</v>
      </c>
      <c r="B132" s="170">
        <f t="shared" si="40"/>
        <v>2146</v>
      </c>
      <c r="C132" s="29">
        <v>4.9000000000000004</v>
      </c>
      <c r="D132" s="167">
        <f t="shared" si="36"/>
        <v>2.8E-3</v>
      </c>
      <c r="E132" s="29">
        <v>0</v>
      </c>
      <c r="F132" s="167">
        <f t="shared" si="38"/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167">
        <f t="shared" si="21"/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167">
        <f t="shared" si="22"/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167">
        <f t="shared" si="23"/>
        <v>0</v>
      </c>
      <c r="AD132" s="29">
        <v>0</v>
      </c>
      <c r="AE132" s="29">
        <v>0</v>
      </c>
      <c r="AF132" s="29">
        <v>0</v>
      </c>
      <c r="AG132" s="29">
        <v>0</v>
      </c>
      <c r="AH132" s="167">
        <f t="shared" si="24"/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167">
        <f t="shared" si="25"/>
        <v>0</v>
      </c>
      <c r="AS132" s="167">
        <f t="shared" si="26"/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167">
        <f t="shared" si="27"/>
        <v>0</v>
      </c>
      <c r="BA132" s="29">
        <v>0</v>
      </c>
      <c r="BB132" s="29">
        <v>0</v>
      </c>
      <c r="BC132" s="29">
        <v>0</v>
      </c>
      <c r="BD132" s="29">
        <v>0</v>
      </c>
      <c r="BE132" s="29">
        <v>0</v>
      </c>
      <c r="BF132" s="29">
        <v>0</v>
      </c>
      <c r="BG132" s="29">
        <v>0</v>
      </c>
      <c r="BH132" s="29">
        <v>0</v>
      </c>
      <c r="BI132" s="29">
        <v>0</v>
      </c>
      <c r="BJ132" s="167">
        <f t="shared" si="28"/>
        <v>0</v>
      </c>
      <c r="BK132" s="167">
        <f t="shared" si="29"/>
        <v>0</v>
      </c>
      <c r="BL132" s="167">
        <f>$BO$9+SUMPRODUCT($D$10:D132,$BK$10:BK132)</f>
        <v>3.8660728931427002</v>
      </c>
      <c r="BM132" s="30">
        <f t="shared" si="30"/>
        <v>4.9000000000000004</v>
      </c>
      <c r="BN132" s="167">
        <f t="shared" si="33"/>
        <v>0</v>
      </c>
      <c r="BO132" s="168">
        <f t="shared" si="31"/>
        <v>0</v>
      </c>
      <c r="BP132" s="40">
        <f t="shared" si="34"/>
        <v>0</v>
      </c>
      <c r="BQ132" s="40">
        <f t="shared" si="35"/>
        <v>0</v>
      </c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x14ac:dyDescent="0.25">
      <c r="A133" s="169">
        <f t="shared" si="40"/>
        <v>124</v>
      </c>
      <c r="B133" s="170">
        <f t="shared" si="40"/>
        <v>2147</v>
      </c>
      <c r="C133" s="29">
        <v>4.9000000000000004</v>
      </c>
      <c r="D133" s="167">
        <f t="shared" si="36"/>
        <v>2.6700000000000001E-3</v>
      </c>
      <c r="E133" s="29">
        <v>0</v>
      </c>
      <c r="F133" s="167">
        <f t="shared" si="38"/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167">
        <f t="shared" si="21"/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167">
        <f t="shared" si="22"/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167">
        <f t="shared" si="23"/>
        <v>0</v>
      </c>
      <c r="AD133" s="29">
        <v>0</v>
      </c>
      <c r="AE133" s="29">
        <v>0</v>
      </c>
      <c r="AF133" s="29">
        <v>0</v>
      </c>
      <c r="AG133" s="29">
        <v>0</v>
      </c>
      <c r="AH133" s="167">
        <f t="shared" si="24"/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167">
        <f t="shared" si="25"/>
        <v>0</v>
      </c>
      <c r="AS133" s="167">
        <f t="shared" si="26"/>
        <v>0</v>
      </c>
      <c r="AT133" s="29">
        <v>0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167">
        <f t="shared" si="27"/>
        <v>0</v>
      </c>
      <c r="BA133" s="29">
        <v>0</v>
      </c>
      <c r="BB133" s="29">
        <v>0</v>
      </c>
      <c r="BC133" s="29">
        <v>0</v>
      </c>
      <c r="BD133" s="29">
        <v>0</v>
      </c>
      <c r="BE133" s="29">
        <v>0</v>
      </c>
      <c r="BF133" s="29">
        <v>0</v>
      </c>
      <c r="BG133" s="29">
        <v>0</v>
      </c>
      <c r="BH133" s="29">
        <v>0</v>
      </c>
      <c r="BI133" s="29">
        <v>0</v>
      </c>
      <c r="BJ133" s="167">
        <f t="shared" si="28"/>
        <v>0</v>
      </c>
      <c r="BK133" s="167">
        <f t="shared" si="29"/>
        <v>0</v>
      </c>
      <c r="BL133" s="167">
        <f>$BO$9+SUMPRODUCT($D$10:D133,$BK$10:BK133)</f>
        <v>3.8660728931427002</v>
      </c>
      <c r="BM133" s="30">
        <f t="shared" si="30"/>
        <v>4.9000000000000004</v>
      </c>
      <c r="BN133" s="167">
        <f t="shared" si="33"/>
        <v>0</v>
      </c>
      <c r="BO133" s="168">
        <f t="shared" si="31"/>
        <v>0</v>
      </c>
      <c r="BP133" s="40">
        <f t="shared" si="34"/>
        <v>0</v>
      </c>
      <c r="BQ133" s="40">
        <f t="shared" si="35"/>
        <v>0</v>
      </c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x14ac:dyDescent="0.25">
      <c r="A134" s="169">
        <f t="shared" si="40"/>
        <v>125</v>
      </c>
      <c r="B134" s="170">
        <f t="shared" si="40"/>
        <v>2148</v>
      </c>
      <c r="C134" s="29">
        <v>4.9000000000000004</v>
      </c>
      <c r="D134" s="167">
        <f t="shared" si="36"/>
        <v>2.5500000000000002E-3</v>
      </c>
      <c r="E134" s="29">
        <v>0</v>
      </c>
      <c r="F134" s="167">
        <f t="shared" si="38"/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167">
        <f t="shared" si="21"/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167">
        <f t="shared" si="22"/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167">
        <f t="shared" si="23"/>
        <v>0</v>
      </c>
      <c r="AD134" s="29">
        <v>0</v>
      </c>
      <c r="AE134" s="29">
        <v>0</v>
      </c>
      <c r="AF134" s="29">
        <v>0</v>
      </c>
      <c r="AG134" s="29">
        <v>0</v>
      </c>
      <c r="AH134" s="167">
        <f t="shared" si="24"/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167">
        <f t="shared" si="25"/>
        <v>0</v>
      </c>
      <c r="AS134" s="167">
        <f t="shared" si="26"/>
        <v>0</v>
      </c>
      <c r="AT134" s="29">
        <v>0</v>
      </c>
      <c r="AU134" s="29">
        <v>0</v>
      </c>
      <c r="AV134" s="29">
        <v>0</v>
      </c>
      <c r="AW134" s="29">
        <v>0</v>
      </c>
      <c r="AX134" s="29">
        <v>0</v>
      </c>
      <c r="AY134" s="29">
        <v>0</v>
      </c>
      <c r="AZ134" s="167">
        <f t="shared" si="27"/>
        <v>0</v>
      </c>
      <c r="BA134" s="29">
        <v>0</v>
      </c>
      <c r="BB134" s="29">
        <v>0</v>
      </c>
      <c r="BC134" s="29">
        <v>0</v>
      </c>
      <c r="BD134" s="29">
        <v>0</v>
      </c>
      <c r="BE134" s="29">
        <v>0</v>
      </c>
      <c r="BF134" s="29">
        <v>0</v>
      </c>
      <c r="BG134" s="29">
        <v>0</v>
      </c>
      <c r="BH134" s="29">
        <v>0</v>
      </c>
      <c r="BI134" s="29">
        <v>0</v>
      </c>
      <c r="BJ134" s="167">
        <f t="shared" si="28"/>
        <v>0</v>
      </c>
      <c r="BK134" s="167">
        <f t="shared" si="29"/>
        <v>0</v>
      </c>
      <c r="BL134" s="167">
        <f>$BO$9+SUMPRODUCT($D$10:D134,$BK$10:BK134)</f>
        <v>3.8660728931427002</v>
      </c>
      <c r="BM134" s="30">
        <f t="shared" si="30"/>
        <v>4.9000000000000004</v>
      </c>
      <c r="BN134" s="167">
        <f t="shared" si="33"/>
        <v>0</v>
      </c>
      <c r="BO134" s="168">
        <f t="shared" si="31"/>
        <v>0</v>
      </c>
      <c r="BP134" s="40">
        <f t="shared" si="34"/>
        <v>0</v>
      </c>
      <c r="BQ134" s="40">
        <f t="shared" si="35"/>
        <v>0</v>
      </c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x14ac:dyDescent="0.25">
      <c r="A135" s="169">
        <f t="shared" si="40"/>
        <v>126</v>
      </c>
      <c r="B135" s="170">
        <f t="shared" si="40"/>
        <v>2149</v>
      </c>
      <c r="C135" s="29">
        <v>4.9000000000000004</v>
      </c>
      <c r="D135" s="167">
        <f t="shared" si="36"/>
        <v>2.4299999999999999E-3</v>
      </c>
      <c r="E135" s="29">
        <v>0</v>
      </c>
      <c r="F135" s="167">
        <f t="shared" si="38"/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167">
        <f t="shared" si="21"/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167">
        <f t="shared" si="22"/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167">
        <f t="shared" si="23"/>
        <v>0</v>
      </c>
      <c r="AD135" s="29">
        <v>0</v>
      </c>
      <c r="AE135" s="29">
        <v>0</v>
      </c>
      <c r="AF135" s="29">
        <v>0</v>
      </c>
      <c r="AG135" s="29">
        <v>0</v>
      </c>
      <c r="AH135" s="167">
        <f t="shared" si="24"/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167">
        <f t="shared" si="25"/>
        <v>0</v>
      </c>
      <c r="AS135" s="167">
        <f t="shared" si="26"/>
        <v>0</v>
      </c>
      <c r="AT135" s="29"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</v>
      </c>
      <c r="AZ135" s="167">
        <f t="shared" si="27"/>
        <v>0</v>
      </c>
      <c r="BA135" s="29">
        <v>0</v>
      </c>
      <c r="BB135" s="29">
        <v>0</v>
      </c>
      <c r="BC135" s="29">
        <v>0</v>
      </c>
      <c r="BD135" s="29">
        <v>0</v>
      </c>
      <c r="BE135" s="29">
        <v>0</v>
      </c>
      <c r="BF135" s="29">
        <v>0</v>
      </c>
      <c r="BG135" s="29">
        <v>0</v>
      </c>
      <c r="BH135" s="29">
        <v>0</v>
      </c>
      <c r="BI135" s="29">
        <v>0</v>
      </c>
      <c r="BJ135" s="167">
        <f t="shared" si="28"/>
        <v>0</v>
      </c>
      <c r="BK135" s="167">
        <f t="shared" si="29"/>
        <v>0</v>
      </c>
      <c r="BL135" s="167">
        <f>$BO$9+SUMPRODUCT($D$10:D135,$BK$10:BK135)</f>
        <v>3.8660728931427002</v>
      </c>
      <c r="BM135" s="30">
        <f t="shared" si="30"/>
        <v>4.9000000000000004</v>
      </c>
      <c r="BN135" s="167">
        <f t="shared" si="33"/>
        <v>0</v>
      </c>
      <c r="BO135" s="168">
        <f t="shared" si="31"/>
        <v>0</v>
      </c>
      <c r="BP135" s="40">
        <f t="shared" si="34"/>
        <v>0</v>
      </c>
      <c r="BQ135" s="40">
        <f t="shared" si="35"/>
        <v>0</v>
      </c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x14ac:dyDescent="0.25">
      <c r="A136" s="169">
        <f t="shared" si="40"/>
        <v>127</v>
      </c>
      <c r="B136" s="170">
        <f t="shared" si="40"/>
        <v>2150</v>
      </c>
      <c r="C136" s="29">
        <v>4.9000000000000004</v>
      </c>
      <c r="D136" s="167">
        <f t="shared" si="36"/>
        <v>2.32E-3</v>
      </c>
      <c r="E136" s="29">
        <v>0</v>
      </c>
      <c r="F136" s="167">
        <f t="shared" si="38"/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167">
        <f t="shared" si="21"/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167">
        <f t="shared" si="22"/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167">
        <f t="shared" si="23"/>
        <v>0</v>
      </c>
      <c r="AD136" s="29">
        <v>0</v>
      </c>
      <c r="AE136" s="29">
        <v>0</v>
      </c>
      <c r="AF136" s="29">
        <v>0</v>
      </c>
      <c r="AG136" s="29">
        <v>0</v>
      </c>
      <c r="AH136" s="167">
        <f t="shared" si="24"/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167">
        <f t="shared" si="25"/>
        <v>0</v>
      </c>
      <c r="AS136" s="167">
        <f t="shared" si="26"/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167">
        <f t="shared" si="27"/>
        <v>0</v>
      </c>
      <c r="BA136" s="29">
        <v>0</v>
      </c>
      <c r="BB136" s="29">
        <v>0</v>
      </c>
      <c r="BC136" s="29">
        <v>0</v>
      </c>
      <c r="BD136" s="29">
        <v>0</v>
      </c>
      <c r="BE136" s="29">
        <v>0</v>
      </c>
      <c r="BF136" s="29">
        <v>0</v>
      </c>
      <c r="BG136" s="29">
        <v>0</v>
      </c>
      <c r="BH136" s="29">
        <v>0</v>
      </c>
      <c r="BI136" s="29">
        <v>0</v>
      </c>
      <c r="BJ136" s="167">
        <f t="shared" si="28"/>
        <v>0</v>
      </c>
      <c r="BK136" s="167">
        <f t="shared" si="29"/>
        <v>0</v>
      </c>
      <c r="BL136" s="167">
        <f>$BO$9+SUMPRODUCT($D$10:D136,$BK$10:BK136)</f>
        <v>3.8660728931427002</v>
      </c>
      <c r="BM136" s="30">
        <f t="shared" si="30"/>
        <v>4.9000000000000004</v>
      </c>
      <c r="BN136" s="167">
        <f t="shared" si="33"/>
        <v>0</v>
      </c>
      <c r="BO136" s="168">
        <f t="shared" si="31"/>
        <v>0</v>
      </c>
      <c r="BP136" s="40">
        <f t="shared" si="34"/>
        <v>0</v>
      </c>
      <c r="BQ136" s="40">
        <f t="shared" si="35"/>
        <v>0</v>
      </c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x14ac:dyDescent="0.25">
      <c r="A137" s="169">
        <f t="shared" si="40"/>
        <v>128</v>
      </c>
      <c r="B137" s="170">
        <f t="shared" si="40"/>
        <v>2151</v>
      </c>
      <c r="C137" s="29">
        <v>4.9000000000000004</v>
      </c>
      <c r="D137" s="167">
        <f t="shared" si="36"/>
        <v>2.2100000000000002E-3</v>
      </c>
      <c r="E137" s="29">
        <v>0</v>
      </c>
      <c r="F137" s="167">
        <f t="shared" si="38"/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167">
        <f t="shared" si="21"/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167">
        <f t="shared" si="22"/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167">
        <f t="shared" si="23"/>
        <v>0</v>
      </c>
      <c r="AD137" s="29">
        <v>0</v>
      </c>
      <c r="AE137" s="29">
        <v>0</v>
      </c>
      <c r="AF137" s="29">
        <v>0</v>
      </c>
      <c r="AG137" s="29">
        <v>0</v>
      </c>
      <c r="AH137" s="167">
        <f t="shared" si="24"/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167">
        <f t="shared" si="25"/>
        <v>0</v>
      </c>
      <c r="AS137" s="167">
        <f t="shared" si="26"/>
        <v>0</v>
      </c>
      <c r="AT137" s="29"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167">
        <f t="shared" si="27"/>
        <v>0</v>
      </c>
      <c r="BA137" s="29">
        <v>0</v>
      </c>
      <c r="BB137" s="29">
        <v>0</v>
      </c>
      <c r="BC137" s="29">
        <v>0</v>
      </c>
      <c r="BD137" s="29">
        <v>0</v>
      </c>
      <c r="BE137" s="29">
        <v>0</v>
      </c>
      <c r="BF137" s="29">
        <v>0</v>
      </c>
      <c r="BG137" s="29">
        <v>0</v>
      </c>
      <c r="BH137" s="29">
        <v>0</v>
      </c>
      <c r="BI137" s="29">
        <v>0</v>
      </c>
      <c r="BJ137" s="167">
        <f t="shared" si="28"/>
        <v>0</v>
      </c>
      <c r="BK137" s="167">
        <f t="shared" si="29"/>
        <v>0</v>
      </c>
      <c r="BL137" s="167">
        <f>$BO$9+SUMPRODUCT($D$10:D137,$BK$10:BK137)</f>
        <v>3.8660728931427002</v>
      </c>
      <c r="BM137" s="30">
        <f t="shared" si="30"/>
        <v>4.9000000000000004</v>
      </c>
      <c r="BN137" s="167">
        <f t="shared" si="33"/>
        <v>0</v>
      </c>
      <c r="BO137" s="168">
        <f t="shared" si="31"/>
        <v>0</v>
      </c>
      <c r="BP137" s="40">
        <f t="shared" si="34"/>
        <v>0</v>
      </c>
      <c r="BQ137" s="40">
        <f t="shared" si="35"/>
        <v>0</v>
      </c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x14ac:dyDescent="0.25">
      <c r="A138" s="169">
        <f t="shared" si="40"/>
        <v>129</v>
      </c>
      <c r="B138" s="170">
        <f t="shared" si="40"/>
        <v>2152</v>
      </c>
      <c r="C138" s="29">
        <v>4.9000000000000004</v>
      </c>
      <c r="D138" s="167">
        <f t="shared" si="36"/>
        <v>2.1099999999999999E-3</v>
      </c>
      <c r="E138" s="29">
        <v>0</v>
      </c>
      <c r="F138" s="167">
        <f t="shared" si="38"/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167">
        <f t="shared" ref="M138:M159" si="41">ROUND(SUM(N138:T138),5)</f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167">
        <f t="shared" ref="U138:U159" si="42">ROUND(SUM(V138:AB138),5)</f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167">
        <f t="shared" ref="AC138:AC159" si="43">ROUND(SUM(AD138:AG138),5)</f>
        <v>0</v>
      </c>
      <c r="AD138" s="29">
        <v>0</v>
      </c>
      <c r="AE138" s="29">
        <v>0</v>
      </c>
      <c r="AF138" s="29">
        <v>0</v>
      </c>
      <c r="AG138" s="29">
        <v>0</v>
      </c>
      <c r="AH138" s="167">
        <f t="shared" ref="AH138:AH159" si="44">ROUND(SUM(AI138:AM138),5)</f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167">
        <f t="shared" ref="AR138:AR159" si="45">ROUND(F138+K138+L138+M138+U138+AC138+AH138+AN138+AO138+AP138+AQ138,5)</f>
        <v>0</v>
      </c>
      <c r="AS138" s="167">
        <f t="shared" ref="AS138:AS159" si="46">ROUND(SUM(AT138:AY138),5)</f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167">
        <f t="shared" ref="AZ138:AZ159" si="47">ROUND(SUM(BA138:BI138),5)</f>
        <v>0</v>
      </c>
      <c r="BA138" s="29">
        <v>0</v>
      </c>
      <c r="BB138" s="29">
        <v>0</v>
      </c>
      <c r="BC138" s="29">
        <v>0</v>
      </c>
      <c r="BD138" s="29">
        <v>0</v>
      </c>
      <c r="BE138" s="29">
        <v>0</v>
      </c>
      <c r="BF138" s="29">
        <v>0</v>
      </c>
      <c r="BG138" s="29">
        <v>0</v>
      </c>
      <c r="BH138" s="29">
        <v>0</v>
      </c>
      <c r="BI138" s="29">
        <v>0</v>
      </c>
      <c r="BJ138" s="167">
        <f t="shared" ref="BJ138:BJ159" si="48">ROUND(AS138+AZ138,5)</f>
        <v>0</v>
      </c>
      <c r="BK138" s="167">
        <f t="shared" ref="BK138:BK159" si="49">ROUND(AR138-BJ138,5)</f>
        <v>0</v>
      </c>
      <c r="BL138" s="167">
        <f>$BO$9+SUMPRODUCT($D$10:D138,$BK$10:BK138)</f>
        <v>3.8660728931427002</v>
      </c>
      <c r="BM138" s="30">
        <f t="shared" ref="BM138:BM159" si="50">ROUND(C138,5)</f>
        <v>4.9000000000000004</v>
      </c>
      <c r="BN138" s="167">
        <f t="shared" si="33"/>
        <v>0</v>
      </c>
      <c r="BO138" s="168">
        <f t="shared" ref="BO138:BO159" si="51">IF(BO137+BK138+BN138&gt;0,ROUND(BO137+BK138+BN138,5),0)</f>
        <v>0</v>
      </c>
      <c r="BP138" s="40">
        <f t="shared" si="34"/>
        <v>0</v>
      </c>
      <c r="BQ138" s="40">
        <f t="shared" si="35"/>
        <v>0</v>
      </c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x14ac:dyDescent="0.25">
      <c r="A139" s="169">
        <f t="shared" ref="A139:B154" si="52">A138+1</f>
        <v>130</v>
      </c>
      <c r="B139" s="170">
        <f t="shared" si="52"/>
        <v>2153</v>
      </c>
      <c r="C139" s="29">
        <v>4.9000000000000004</v>
      </c>
      <c r="D139" s="167">
        <f t="shared" si="36"/>
        <v>2.0100000000000001E-3</v>
      </c>
      <c r="E139" s="29">
        <v>0</v>
      </c>
      <c r="F139" s="167">
        <f t="shared" si="38"/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167">
        <f t="shared" si="41"/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167">
        <f t="shared" si="42"/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167">
        <f t="shared" si="43"/>
        <v>0</v>
      </c>
      <c r="AD139" s="29">
        <v>0</v>
      </c>
      <c r="AE139" s="29">
        <v>0</v>
      </c>
      <c r="AF139" s="29">
        <v>0</v>
      </c>
      <c r="AG139" s="29">
        <v>0</v>
      </c>
      <c r="AH139" s="167">
        <f t="shared" si="44"/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167">
        <f t="shared" si="45"/>
        <v>0</v>
      </c>
      <c r="AS139" s="167">
        <f t="shared" si="46"/>
        <v>0</v>
      </c>
      <c r="AT139" s="29">
        <v>0</v>
      </c>
      <c r="AU139" s="29">
        <v>0</v>
      </c>
      <c r="AV139" s="29">
        <v>0</v>
      </c>
      <c r="AW139" s="29">
        <v>0</v>
      </c>
      <c r="AX139" s="29">
        <v>0</v>
      </c>
      <c r="AY139" s="29">
        <v>0</v>
      </c>
      <c r="AZ139" s="167">
        <f t="shared" si="47"/>
        <v>0</v>
      </c>
      <c r="BA139" s="29">
        <v>0</v>
      </c>
      <c r="BB139" s="29">
        <v>0</v>
      </c>
      <c r="BC139" s="29">
        <v>0</v>
      </c>
      <c r="BD139" s="29">
        <v>0</v>
      </c>
      <c r="BE139" s="29">
        <v>0</v>
      </c>
      <c r="BF139" s="29">
        <v>0</v>
      </c>
      <c r="BG139" s="29">
        <v>0</v>
      </c>
      <c r="BH139" s="29">
        <v>0</v>
      </c>
      <c r="BI139" s="29">
        <v>0</v>
      </c>
      <c r="BJ139" s="167">
        <f t="shared" si="48"/>
        <v>0</v>
      </c>
      <c r="BK139" s="167">
        <f t="shared" si="49"/>
        <v>0</v>
      </c>
      <c r="BL139" s="167">
        <f>$BO$9+SUMPRODUCT($D$10:D139,$BK$10:BK139)</f>
        <v>3.8660728931427002</v>
      </c>
      <c r="BM139" s="30">
        <f t="shared" si="50"/>
        <v>4.9000000000000004</v>
      </c>
      <c r="BN139" s="167">
        <f t="shared" ref="BN139:BN159" si="53">IF($A$10=0,IF(BO138+BK139&lt;0,0,ROUND(BM139/100*(BO138+BK139),5)),ROUND(BM139/100*BO138,5))</f>
        <v>0</v>
      </c>
      <c r="BO139" s="168">
        <f t="shared" si="51"/>
        <v>0</v>
      </c>
      <c r="BP139" s="40">
        <f t="shared" ref="BP139:BP159" si="54">(1/((1+$C139/100)^($A139-0.5)))*(AS139+AZ139-AY139-BH139-F139-AC139-AH139)</f>
        <v>0</v>
      </c>
      <c r="BQ139" s="40">
        <f t="shared" ref="BQ139:BQ159" si="55">$BP139*($A139-0.5)</f>
        <v>0</v>
      </c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x14ac:dyDescent="0.25">
      <c r="A140" s="169">
        <f t="shared" si="52"/>
        <v>131</v>
      </c>
      <c r="B140" s="170">
        <f t="shared" si="52"/>
        <v>2154</v>
      </c>
      <c r="C140" s="29">
        <v>4.9000000000000004</v>
      </c>
      <c r="D140" s="167">
        <f t="shared" ref="D140:D158" si="56">ROUND((1+C140/100)^-1*D139,5)</f>
        <v>1.92E-3</v>
      </c>
      <c r="E140" s="29">
        <v>0</v>
      </c>
      <c r="F140" s="167">
        <f t="shared" si="38"/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167">
        <f t="shared" si="41"/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167">
        <f t="shared" si="42"/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167">
        <f t="shared" si="43"/>
        <v>0</v>
      </c>
      <c r="AD140" s="29">
        <v>0</v>
      </c>
      <c r="AE140" s="29">
        <v>0</v>
      </c>
      <c r="AF140" s="29">
        <v>0</v>
      </c>
      <c r="AG140" s="29">
        <v>0</v>
      </c>
      <c r="AH140" s="167">
        <f t="shared" si="44"/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167">
        <f t="shared" si="45"/>
        <v>0</v>
      </c>
      <c r="AS140" s="167">
        <f t="shared" si="46"/>
        <v>0</v>
      </c>
      <c r="AT140" s="29"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167">
        <f t="shared" si="47"/>
        <v>0</v>
      </c>
      <c r="BA140" s="29">
        <v>0</v>
      </c>
      <c r="BB140" s="29">
        <v>0</v>
      </c>
      <c r="BC140" s="29">
        <v>0</v>
      </c>
      <c r="BD140" s="29">
        <v>0</v>
      </c>
      <c r="BE140" s="29">
        <v>0</v>
      </c>
      <c r="BF140" s="29">
        <v>0</v>
      </c>
      <c r="BG140" s="29">
        <v>0</v>
      </c>
      <c r="BH140" s="29">
        <v>0</v>
      </c>
      <c r="BI140" s="29">
        <v>0</v>
      </c>
      <c r="BJ140" s="167">
        <f t="shared" si="48"/>
        <v>0</v>
      </c>
      <c r="BK140" s="167">
        <f t="shared" si="49"/>
        <v>0</v>
      </c>
      <c r="BL140" s="167">
        <f>$BO$9+SUMPRODUCT($D$10:D140,$BK$10:BK140)</f>
        <v>3.8660728931427002</v>
      </c>
      <c r="BM140" s="30">
        <f t="shared" si="50"/>
        <v>4.9000000000000004</v>
      </c>
      <c r="BN140" s="167">
        <f t="shared" si="53"/>
        <v>0</v>
      </c>
      <c r="BO140" s="168">
        <f t="shared" si="51"/>
        <v>0</v>
      </c>
      <c r="BP140" s="40">
        <f t="shared" si="54"/>
        <v>0</v>
      </c>
      <c r="BQ140" s="40">
        <f t="shared" si="55"/>
        <v>0</v>
      </c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x14ac:dyDescent="0.25">
      <c r="A141" s="169">
        <f t="shared" si="52"/>
        <v>132</v>
      </c>
      <c r="B141" s="170">
        <f t="shared" si="52"/>
        <v>2155</v>
      </c>
      <c r="C141" s="29">
        <v>4.9000000000000004</v>
      </c>
      <c r="D141" s="167">
        <f t="shared" si="56"/>
        <v>1.83E-3</v>
      </c>
      <c r="E141" s="29">
        <v>0</v>
      </c>
      <c r="F141" s="167">
        <f t="shared" si="38"/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167">
        <f t="shared" si="41"/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167">
        <f t="shared" si="42"/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167">
        <f t="shared" si="43"/>
        <v>0</v>
      </c>
      <c r="AD141" s="29">
        <v>0</v>
      </c>
      <c r="AE141" s="29">
        <v>0</v>
      </c>
      <c r="AF141" s="29">
        <v>0</v>
      </c>
      <c r="AG141" s="29">
        <v>0</v>
      </c>
      <c r="AH141" s="167">
        <f t="shared" si="44"/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167">
        <f t="shared" si="45"/>
        <v>0</v>
      </c>
      <c r="AS141" s="167">
        <f t="shared" si="46"/>
        <v>0</v>
      </c>
      <c r="AT141" s="29">
        <v>0</v>
      </c>
      <c r="AU141" s="29">
        <v>0</v>
      </c>
      <c r="AV141" s="29">
        <v>0</v>
      </c>
      <c r="AW141" s="29">
        <v>0</v>
      </c>
      <c r="AX141" s="29">
        <v>0</v>
      </c>
      <c r="AY141" s="29">
        <v>0</v>
      </c>
      <c r="AZ141" s="167">
        <f t="shared" si="47"/>
        <v>0</v>
      </c>
      <c r="BA141" s="29">
        <v>0</v>
      </c>
      <c r="BB141" s="29">
        <v>0</v>
      </c>
      <c r="BC141" s="29">
        <v>0</v>
      </c>
      <c r="BD141" s="29">
        <v>0</v>
      </c>
      <c r="BE141" s="29">
        <v>0</v>
      </c>
      <c r="BF141" s="29">
        <v>0</v>
      </c>
      <c r="BG141" s="29">
        <v>0</v>
      </c>
      <c r="BH141" s="29">
        <v>0</v>
      </c>
      <c r="BI141" s="29">
        <v>0</v>
      </c>
      <c r="BJ141" s="167">
        <f t="shared" si="48"/>
        <v>0</v>
      </c>
      <c r="BK141" s="167">
        <f t="shared" si="49"/>
        <v>0</v>
      </c>
      <c r="BL141" s="167">
        <f>$BO$9+SUMPRODUCT($D$10:D141,$BK$10:BK141)</f>
        <v>3.8660728931427002</v>
      </c>
      <c r="BM141" s="30">
        <f t="shared" si="50"/>
        <v>4.9000000000000004</v>
      </c>
      <c r="BN141" s="167">
        <f t="shared" si="53"/>
        <v>0</v>
      </c>
      <c r="BO141" s="168">
        <f t="shared" si="51"/>
        <v>0</v>
      </c>
      <c r="BP141" s="40">
        <f t="shared" si="54"/>
        <v>0</v>
      </c>
      <c r="BQ141" s="40">
        <f t="shared" si="55"/>
        <v>0</v>
      </c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x14ac:dyDescent="0.25">
      <c r="A142" s="169">
        <f t="shared" si="52"/>
        <v>133</v>
      </c>
      <c r="B142" s="170">
        <f t="shared" si="52"/>
        <v>2156</v>
      </c>
      <c r="C142" s="29">
        <v>4.9000000000000004</v>
      </c>
      <c r="D142" s="167">
        <f t="shared" si="56"/>
        <v>1.74E-3</v>
      </c>
      <c r="E142" s="29">
        <v>0</v>
      </c>
      <c r="F142" s="167">
        <f t="shared" si="38"/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167">
        <f t="shared" si="41"/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167">
        <f t="shared" si="42"/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167">
        <f t="shared" si="43"/>
        <v>0</v>
      </c>
      <c r="AD142" s="29">
        <v>0</v>
      </c>
      <c r="AE142" s="29">
        <v>0</v>
      </c>
      <c r="AF142" s="29">
        <v>0</v>
      </c>
      <c r="AG142" s="29">
        <v>0</v>
      </c>
      <c r="AH142" s="167">
        <f t="shared" si="44"/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v>0</v>
      </c>
      <c r="AP142" s="29">
        <v>0</v>
      </c>
      <c r="AQ142" s="29">
        <v>0</v>
      </c>
      <c r="AR142" s="167">
        <f t="shared" si="45"/>
        <v>0</v>
      </c>
      <c r="AS142" s="167">
        <f t="shared" si="46"/>
        <v>0</v>
      </c>
      <c r="AT142" s="29">
        <v>0</v>
      </c>
      <c r="AU142" s="29">
        <v>0</v>
      </c>
      <c r="AV142" s="29">
        <v>0</v>
      </c>
      <c r="AW142" s="29">
        <v>0</v>
      </c>
      <c r="AX142" s="29">
        <v>0</v>
      </c>
      <c r="AY142" s="29">
        <v>0</v>
      </c>
      <c r="AZ142" s="167">
        <f t="shared" si="47"/>
        <v>0</v>
      </c>
      <c r="BA142" s="29">
        <v>0</v>
      </c>
      <c r="BB142" s="29">
        <v>0</v>
      </c>
      <c r="BC142" s="29">
        <v>0</v>
      </c>
      <c r="BD142" s="29">
        <v>0</v>
      </c>
      <c r="BE142" s="29">
        <v>0</v>
      </c>
      <c r="BF142" s="29">
        <v>0</v>
      </c>
      <c r="BG142" s="29">
        <v>0</v>
      </c>
      <c r="BH142" s="29">
        <v>0</v>
      </c>
      <c r="BI142" s="29">
        <v>0</v>
      </c>
      <c r="BJ142" s="167">
        <f t="shared" si="48"/>
        <v>0</v>
      </c>
      <c r="BK142" s="167">
        <f t="shared" si="49"/>
        <v>0</v>
      </c>
      <c r="BL142" s="167">
        <f>$BO$9+SUMPRODUCT($D$10:D142,$BK$10:BK142)</f>
        <v>3.8660728931427002</v>
      </c>
      <c r="BM142" s="30">
        <f t="shared" si="50"/>
        <v>4.9000000000000004</v>
      </c>
      <c r="BN142" s="167">
        <f t="shared" si="53"/>
        <v>0</v>
      </c>
      <c r="BO142" s="168">
        <f t="shared" si="51"/>
        <v>0</v>
      </c>
      <c r="BP142" s="40">
        <f t="shared" si="54"/>
        <v>0</v>
      </c>
      <c r="BQ142" s="40">
        <f t="shared" si="55"/>
        <v>0</v>
      </c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x14ac:dyDescent="0.25">
      <c r="A143" s="169">
        <f t="shared" si="52"/>
        <v>134</v>
      </c>
      <c r="B143" s="170">
        <f t="shared" si="52"/>
        <v>2157</v>
      </c>
      <c r="C143" s="29">
        <v>4.9000000000000004</v>
      </c>
      <c r="D143" s="167">
        <f t="shared" si="56"/>
        <v>1.66E-3</v>
      </c>
      <c r="E143" s="29">
        <v>0</v>
      </c>
      <c r="F143" s="167">
        <f t="shared" si="38"/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167">
        <f t="shared" si="41"/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167">
        <f t="shared" si="42"/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167">
        <f t="shared" si="43"/>
        <v>0</v>
      </c>
      <c r="AD143" s="29">
        <v>0</v>
      </c>
      <c r="AE143" s="29">
        <v>0</v>
      </c>
      <c r="AF143" s="29">
        <v>0</v>
      </c>
      <c r="AG143" s="29">
        <v>0</v>
      </c>
      <c r="AH143" s="167">
        <f t="shared" si="44"/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167">
        <f t="shared" si="45"/>
        <v>0</v>
      </c>
      <c r="AS143" s="167">
        <f t="shared" si="46"/>
        <v>0</v>
      </c>
      <c r="AT143" s="29">
        <v>0</v>
      </c>
      <c r="AU143" s="29">
        <v>0</v>
      </c>
      <c r="AV143" s="29">
        <v>0</v>
      </c>
      <c r="AW143" s="29">
        <v>0</v>
      </c>
      <c r="AX143" s="29">
        <v>0</v>
      </c>
      <c r="AY143" s="29">
        <v>0</v>
      </c>
      <c r="AZ143" s="167">
        <f t="shared" si="47"/>
        <v>0</v>
      </c>
      <c r="BA143" s="29">
        <v>0</v>
      </c>
      <c r="BB143" s="29">
        <v>0</v>
      </c>
      <c r="BC143" s="29">
        <v>0</v>
      </c>
      <c r="BD143" s="29">
        <v>0</v>
      </c>
      <c r="BE143" s="29">
        <v>0</v>
      </c>
      <c r="BF143" s="29">
        <v>0</v>
      </c>
      <c r="BG143" s="29">
        <v>0</v>
      </c>
      <c r="BH143" s="29">
        <v>0</v>
      </c>
      <c r="BI143" s="29">
        <v>0</v>
      </c>
      <c r="BJ143" s="167">
        <f t="shared" si="48"/>
        <v>0</v>
      </c>
      <c r="BK143" s="167">
        <f t="shared" si="49"/>
        <v>0</v>
      </c>
      <c r="BL143" s="167">
        <f>$BO$9+SUMPRODUCT($D$10:D143,$BK$10:BK143)</f>
        <v>3.8660728931427002</v>
      </c>
      <c r="BM143" s="30">
        <f t="shared" si="50"/>
        <v>4.9000000000000004</v>
      </c>
      <c r="BN143" s="167">
        <f t="shared" si="53"/>
        <v>0</v>
      </c>
      <c r="BO143" s="168">
        <f t="shared" si="51"/>
        <v>0</v>
      </c>
      <c r="BP143" s="40">
        <f t="shared" si="54"/>
        <v>0</v>
      </c>
      <c r="BQ143" s="40">
        <f t="shared" si="55"/>
        <v>0</v>
      </c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x14ac:dyDescent="0.25">
      <c r="A144" s="169">
        <f t="shared" si="52"/>
        <v>135</v>
      </c>
      <c r="B144" s="170">
        <f t="shared" si="52"/>
        <v>2158</v>
      </c>
      <c r="C144" s="29">
        <v>4.9000000000000004</v>
      </c>
      <c r="D144" s="167">
        <f t="shared" si="56"/>
        <v>1.58E-3</v>
      </c>
      <c r="E144" s="29">
        <v>0</v>
      </c>
      <c r="F144" s="167">
        <f t="shared" si="38"/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167">
        <f t="shared" si="41"/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167">
        <f t="shared" si="42"/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167">
        <f t="shared" si="43"/>
        <v>0</v>
      </c>
      <c r="AD144" s="29">
        <v>0</v>
      </c>
      <c r="AE144" s="29">
        <v>0</v>
      </c>
      <c r="AF144" s="29">
        <v>0</v>
      </c>
      <c r="AG144" s="29">
        <v>0</v>
      </c>
      <c r="AH144" s="167">
        <f t="shared" si="44"/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v>0</v>
      </c>
      <c r="AR144" s="167">
        <f t="shared" si="45"/>
        <v>0</v>
      </c>
      <c r="AS144" s="167">
        <f t="shared" si="46"/>
        <v>0</v>
      </c>
      <c r="AT144" s="29">
        <v>0</v>
      </c>
      <c r="AU144" s="29">
        <v>0</v>
      </c>
      <c r="AV144" s="29">
        <v>0</v>
      </c>
      <c r="AW144" s="29">
        <v>0</v>
      </c>
      <c r="AX144" s="29">
        <v>0</v>
      </c>
      <c r="AY144" s="29">
        <v>0</v>
      </c>
      <c r="AZ144" s="167">
        <f t="shared" si="47"/>
        <v>0</v>
      </c>
      <c r="BA144" s="29">
        <v>0</v>
      </c>
      <c r="BB144" s="29">
        <v>0</v>
      </c>
      <c r="BC144" s="29">
        <v>0</v>
      </c>
      <c r="BD144" s="29">
        <v>0</v>
      </c>
      <c r="BE144" s="29">
        <v>0</v>
      </c>
      <c r="BF144" s="29">
        <v>0</v>
      </c>
      <c r="BG144" s="29">
        <v>0</v>
      </c>
      <c r="BH144" s="29">
        <v>0</v>
      </c>
      <c r="BI144" s="29">
        <v>0</v>
      </c>
      <c r="BJ144" s="167">
        <f t="shared" si="48"/>
        <v>0</v>
      </c>
      <c r="BK144" s="167">
        <f t="shared" si="49"/>
        <v>0</v>
      </c>
      <c r="BL144" s="167">
        <f>$BO$9+SUMPRODUCT($D$10:D144,$BK$10:BK144)</f>
        <v>3.8660728931427002</v>
      </c>
      <c r="BM144" s="30">
        <f t="shared" si="50"/>
        <v>4.9000000000000004</v>
      </c>
      <c r="BN144" s="167">
        <f t="shared" si="53"/>
        <v>0</v>
      </c>
      <c r="BO144" s="168">
        <f t="shared" si="51"/>
        <v>0</v>
      </c>
      <c r="BP144" s="40">
        <f t="shared" si="54"/>
        <v>0</v>
      </c>
      <c r="BQ144" s="40">
        <f t="shared" si="55"/>
        <v>0</v>
      </c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x14ac:dyDescent="0.25">
      <c r="A145" s="169">
        <f t="shared" si="52"/>
        <v>136</v>
      </c>
      <c r="B145" s="170">
        <f t="shared" si="52"/>
        <v>2159</v>
      </c>
      <c r="C145" s="29">
        <v>4.9000000000000004</v>
      </c>
      <c r="D145" s="167">
        <f t="shared" si="56"/>
        <v>1.5100000000000001E-3</v>
      </c>
      <c r="E145" s="29">
        <v>0</v>
      </c>
      <c r="F145" s="167">
        <f t="shared" si="38"/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167">
        <f t="shared" si="41"/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167">
        <f t="shared" si="42"/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167">
        <f t="shared" si="43"/>
        <v>0</v>
      </c>
      <c r="AD145" s="29">
        <v>0</v>
      </c>
      <c r="AE145" s="29">
        <v>0</v>
      </c>
      <c r="AF145" s="29">
        <v>0</v>
      </c>
      <c r="AG145" s="29">
        <v>0</v>
      </c>
      <c r="AH145" s="167">
        <f t="shared" si="44"/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167">
        <f t="shared" si="45"/>
        <v>0</v>
      </c>
      <c r="AS145" s="167">
        <f t="shared" si="46"/>
        <v>0</v>
      </c>
      <c r="AT145" s="29"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167">
        <f t="shared" si="47"/>
        <v>0</v>
      </c>
      <c r="BA145" s="29">
        <v>0</v>
      </c>
      <c r="BB145" s="29">
        <v>0</v>
      </c>
      <c r="BC145" s="29">
        <v>0</v>
      </c>
      <c r="BD145" s="29">
        <v>0</v>
      </c>
      <c r="BE145" s="29">
        <v>0</v>
      </c>
      <c r="BF145" s="29">
        <v>0</v>
      </c>
      <c r="BG145" s="29">
        <v>0</v>
      </c>
      <c r="BH145" s="29">
        <v>0</v>
      </c>
      <c r="BI145" s="29">
        <v>0</v>
      </c>
      <c r="BJ145" s="167">
        <f t="shared" si="48"/>
        <v>0</v>
      </c>
      <c r="BK145" s="167">
        <f t="shared" si="49"/>
        <v>0</v>
      </c>
      <c r="BL145" s="167">
        <f>$BO$9+SUMPRODUCT($D$10:D145,$BK$10:BK145)</f>
        <v>3.8660728931427002</v>
      </c>
      <c r="BM145" s="30">
        <f t="shared" si="50"/>
        <v>4.9000000000000004</v>
      </c>
      <c r="BN145" s="167">
        <f t="shared" si="53"/>
        <v>0</v>
      </c>
      <c r="BO145" s="168">
        <f t="shared" si="51"/>
        <v>0</v>
      </c>
      <c r="BP145" s="40">
        <f t="shared" si="54"/>
        <v>0</v>
      </c>
      <c r="BQ145" s="40">
        <f t="shared" si="55"/>
        <v>0</v>
      </c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x14ac:dyDescent="0.25">
      <c r="A146" s="169">
        <f t="shared" si="52"/>
        <v>137</v>
      </c>
      <c r="B146" s="170">
        <f t="shared" si="52"/>
        <v>2160</v>
      </c>
      <c r="C146" s="29">
        <v>4.9000000000000004</v>
      </c>
      <c r="D146" s="167">
        <f t="shared" si="56"/>
        <v>1.4400000000000001E-3</v>
      </c>
      <c r="E146" s="29">
        <v>0</v>
      </c>
      <c r="F146" s="167">
        <f t="shared" si="38"/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167">
        <f t="shared" si="41"/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167">
        <f t="shared" si="42"/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167">
        <f t="shared" si="43"/>
        <v>0</v>
      </c>
      <c r="AD146" s="29">
        <v>0</v>
      </c>
      <c r="AE146" s="29">
        <v>0</v>
      </c>
      <c r="AF146" s="29">
        <v>0</v>
      </c>
      <c r="AG146" s="29">
        <v>0</v>
      </c>
      <c r="AH146" s="167">
        <f t="shared" si="44"/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167">
        <f t="shared" si="45"/>
        <v>0</v>
      </c>
      <c r="AS146" s="167">
        <f t="shared" si="46"/>
        <v>0</v>
      </c>
      <c r="AT146" s="29">
        <v>0</v>
      </c>
      <c r="AU146" s="29">
        <v>0</v>
      </c>
      <c r="AV146" s="29">
        <v>0</v>
      </c>
      <c r="AW146" s="29">
        <v>0</v>
      </c>
      <c r="AX146" s="29">
        <v>0</v>
      </c>
      <c r="AY146" s="29">
        <v>0</v>
      </c>
      <c r="AZ146" s="167">
        <f t="shared" si="47"/>
        <v>0</v>
      </c>
      <c r="BA146" s="29">
        <v>0</v>
      </c>
      <c r="BB146" s="29">
        <v>0</v>
      </c>
      <c r="BC146" s="29">
        <v>0</v>
      </c>
      <c r="BD146" s="29">
        <v>0</v>
      </c>
      <c r="BE146" s="29">
        <v>0</v>
      </c>
      <c r="BF146" s="29">
        <v>0</v>
      </c>
      <c r="BG146" s="29">
        <v>0</v>
      </c>
      <c r="BH146" s="29">
        <v>0</v>
      </c>
      <c r="BI146" s="29">
        <v>0</v>
      </c>
      <c r="BJ146" s="167">
        <f t="shared" si="48"/>
        <v>0</v>
      </c>
      <c r="BK146" s="167">
        <f t="shared" si="49"/>
        <v>0</v>
      </c>
      <c r="BL146" s="167">
        <f>$BO$9+SUMPRODUCT($D$10:D146,$BK$10:BK146)</f>
        <v>3.8660728931427002</v>
      </c>
      <c r="BM146" s="30">
        <f t="shared" si="50"/>
        <v>4.9000000000000004</v>
      </c>
      <c r="BN146" s="167">
        <f t="shared" si="53"/>
        <v>0</v>
      </c>
      <c r="BO146" s="168">
        <f t="shared" si="51"/>
        <v>0</v>
      </c>
      <c r="BP146" s="40">
        <f t="shared" si="54"/>
        <v>0</v>
      </c>
      <c r="BQ146" s="40">
        <f t="shared" si="55"/>
        <v>0</v>
      </c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x14ac:dyDescent="0.25">
      <c r="A147" s="169">
        <f t="shared" si="52"/>
        <v>138</v>
      </c>
      <c r="B147" s="170">
        <f t="shared" si="52"/>
        <v>2161</v>
      </c>
      <c r="C147" s="29">
        <v>4.9000000000000004</v>
      </c>
      <c r="D147" s="167">
        <f t="shared" si="56"/>
        <v>1.3699999999999999E-3</v>
      </c>
      <c r="E147" s="29">
        <v>0</v>
      </c>
      <c r="F147" s="167">
        <f t="shared" si="38"/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167">
        <f t="shared" si="41"/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167">
        <f t="shared" si="42"/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167">
        <f t="shared" si="43"/>
        <v>0</v>
      </c>
      <c r="AD147" s="29">
        <v>0</v>
      </c>
      <c r="AE147" s="29">
        <v>0</v>
      </c>
      <c r="AF147" s="29">
        <v>0</v>
      </c>
      <c r="AG147" s="29">
        <v>0</v>
      </c>
      <c r="AH147" s="167">
        <f t="shared" si="44"/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167">
        <f t="shared" si="45"/>
        <v>0</v>
      </c>
      <c r="AS147" s="167">
        <f t="shared" si="46"/>
        <v>0</v>
      </c>
      <c r="AT147" s="29">
        <v>0</v>
      </c>
      <c r="AU147" s="29">
        <v>0</v>
      </c>
      <c r="AV147" s="29">
        <v>0</v>
      </c>
      <c r="AW147" s="29">
        <v>0</v>
      </c>
      <c r="AX147" s="29">
        <v>0</v>
      </c>
      <c r="AY147" s="29">
        <v>0</v>
      </c>
      <c r="AZ147" s="167">
        <f t="shared" si="47"/>
        <v>0</v>
      </c>
      <c r="BA147" s="29">
        <v>0</v>
      </c>
      <c r="BB147" s="29">
        <v>0</v>
      </c>
      <c r="BC147" s="29">
        <v>0</v>
      </c>
      <c r="BD147" s="29">
        <v>0</v>
      </c>
      <c r="BE147" s="29">
        <v>0</v>
      </c>
      <c r="BF147" s="29">
        <v>0</v>
      </c>
      <c r="BG147" s="29">
        <v>0</v>
      </c>
      <c r="BH147" s="29">
        <v>0</v>
      </c>
      <c r="BI147" s="29">
        <v>0</v>
      </c>
      <c r="BJ147" s="167">
        <f t="shared" si="48"/>
        <v>0</v>
      </c>
      <c r="BK147" s="167">
        <f t="shared" si="49"/>
        <v>0</v>
      </c>
      <c r="BL147" s="167">
        <f>$BO$9+SUMPRODUCT($D$10:D147,$BK$10:BK147)</f>
        <v>3.8660728931427002</v>
      </c>
      <c r="BM147" s="30">
        <f t="shared" si="50"/>
        <v>4.9000000000000004</v>
      </c>
      <c r="BN147" s="167">
        <f t="shared" si="53"/>
        <v>0</v>
      </c>
      <c r="BO147" s="168">
        <f t="shared" si="51"/>
        <v>0</v>
      </c>
      <c r="BP147" s="40">
        <f t="shared" si="54"/>
        <v>0</v>
      </c>
      <c r="BQ147" s="40">
        <f t="shared" si="55"/>
        <v>0</v>
      </c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x14ac:dyDescent="0.25">
      <c r="A148" s="169">
        <f t="shared" si="52"/>
        <v>139</v>
      </c>
      <c r="B148" s="170">
        <f t="shared" si="52"/>
        <v>2162</v>
      </c>
      <c r="C148" s="29">
        <v>4.9000000000000004</v>
      </c>
      <c r="D148" s="167">
        <f t="shared" si="56"/>
        <v>1.31E-3</v>
      </c>
      <c r="E148" s="29">
        <v>0</v>
      </c>
      <c r="F148" s="167">
        <f t="shared" si="38"/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167">
        <f t="shared" si="41"/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167">
        <f t="shared" si="42"/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167">
        <f t="shared" si="43"/>
        <v>0</v>
      </c>
      <c r="AD148" s="29">
        <v>0</v>
      </c>
      <c r="AE148" s="29">
        <v>0</v>
      </c>
      <c r="AF148" s="29">
        <v>0</v>
      </c>
      <c r="AG148" s="29">
        <v>0</v>
      </c>
      <c r="AH148" s="167">
        <f t="shared" si="44"/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167">
        <f t="shared" si="45"/>
        <v>0</v>
      </c>
      <c r="AS148" s="167">
        <f t="shared" si="46"/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167">
        <f t="shared" si="47"/>
        <v>0</v>
      </c>
      <c r="BA148" s="29">
        <v>0</v>
      </c>
      <c r="BB148" s="29">
        <v>0</v>
      </c>
      <c r="BC148" s="29">
        <v>0</v>
      </c>
      <c r="BD148" s="29">
        <v>0</v>
      </c>
      <c r="BE148" s="29">
        <v>0</v>
      </c>
      <c r="BF148" s="29">
        <v>0</v>
      </c>
      <c r="BG148" s="29">
        <v>0</v>
      </c>
      <c r="BH148" s="29">
        <v>0</v>
      </c>
      <c r="BI148" s="29">
        <v>0</v>
      </c>
      <c r="BJ148" s="167">
        <f t="shared" si="48"/>
        <v>0</v>
      </c>
      <c r="BK148" s="167">
        <f t="shared" si="49"/>
        <v>0</v>
      </c>
      <c r="BL148" s="167">
        <f>$BO$9+SUMPRODUCT($D$10:D148,$BK$10:BK148)</f>
        <v>3.8660728931427002</v>
      </c>
      <c r="BM148" s="30">
        <f t="shared" si="50"/>
        <v>4.9000000000000004</v>
      </c>
      <c r="BN148" s="167">
        <f t="shared" si="53"/>
        <v>0</v>
      </c>
      <c r="BO148" s="168">
        <f t="shared" si="51"/>
        <v>0</v>
      </c>
      <c r="BP148" s="40">
        <f t="shared" si="54"/>
        <v>0</v>
      </c>
      <c r="BQ148" s="40">
        <f t="shared" si="55"/>
        <v>0</v>
      </c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x14ac:dyDescent="0.25">
      <c r="A149" s="169">
        <f t="shared" si="52"/>
        <v>140</v>
      </c>
      <c r="B149" s="170">
        <f t="shared" si="52"/>
        <v>2163</v>
      </c>
      <c r="C149" s="29">
        <v>4.9000000000000004</v>
      </c>
      <c r="D149" s="167">
        <f t="shared" si="56"/>
        <v>1.25E-3</v>
      </c>
      <c r="E149" s="29">
        <v>0</v>
      </c>
      <c r="F149" s="167">
        <f t="shared" si="38"/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167">
        <f t="shared" si="41"/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167">
        <f t="shared" si="42"/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167">
        <f t="shared" si="43"/>
        <v>0</v>
      </c>
      <c r="AD149" s="29">
        <v>0</v>
      </c>
      <c r="AE149" s="29">
        <v>0</v>
      </c>
      <c r="AF149" s="29">
        <v>0</v>
      </c>
      <c r="AG149" s="29">
        <v>0</v>
      </c>
      <c r="AH149" s="167">
        <f t="shared" si="44"/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167">
        <f t="shared" si="45"/>
        <v>0</v>
      </c>
      <c r="AS149" s="167">
        <f t="shared" si="46"/>
        <v>0</v>
      </c>
      <c r="AT149" s="29">
        <v>0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167">
        <f t="shared" si="47"/>
        <v>0</v>
      </c>
      <c r="BA149" s="29">
        <v>0</v>
      </c>
      <c r="BB149" s="29">
        <v>0</v>
      </c>
      <c r="BC149" s="29">
        <v>0</v>
      </c>
      <c r="BD149" s="29">
        <v>0</v>
      </c>
      <c r="BE149" s="29">
        <v>0</v>
      </c>
      <c r="BF149" s="29">
        <v>0</v>
      </c>
      <c r="BG149" s="29">
        <v>0</v>
      </c>
      <c r="BH149" s="29">
        <v>0</v>
      </c>
      <c r="BI149" s="29">
        <v>0</v>
      </c>
      <c r="BJ149" s="167">
        <f t="shared" si="48"/>
        <v>0</v>
      </c>
      <c r="BK149" s="167">
        <f t="shared" si="49"/>
        <v>0</v>
      </c>
      <c r="BL149" s="167">
        <f>$BO$9+SUMPRODUCT($D$10:D149,$BK$10:BK149)</f>
        <v>3.8660728931427002</v>
      </c>
      <c r="BM149" s="30">
        <f t="shared" si="50"/>
        <v>4.9000000000000004</v>
      </c>
      <c r="BN149" s="167">
        <f t="shared" si="53"/>
        <v>0</v>
      </c>
      <c r="BO149" s="168">
        <f t="shared" si="51"/>
        <v>0</v>
      </c>
      <c r="BP149" s="40">
        <f t="shared" si="54"/>
        <v>0</v>
      </c>
      <c r="BQ149" s="40">
        <f t="shared" si="55"/>
        <v>0</v>
      </c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x14ac:dyDescent="0.25">
      <c r="A150" s="169">
        <f t="shared" si="52"/>
        <v>141</v>
      </c>
      <c r="B150" s="170">
        <f t="shared" si="52"/>
        <v>2164</v>
      </c>
      <c r="C150" s="29">
        <v>4.9000000000000004</v>
      </c>
      <c r="D150" s="167">
        <f t="shared" si="56"/>
        <v>1.1900000000000001E-3</v>
      </c>
      <c r="E150" s="29">
        <v>0</v>
      </c>
      <c r="F150" s="167">
        <f t="shared" si="38"/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167">
        <f t="shared" si="41"/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167">
        <f t="shared" si="42"/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167">
        <f t="shared" si="43"/>
        <v>0</v>
      </c>
      <c r="AD150" s="29">
        <v>0</v>
      </c>
      <c r="AE150" s="29">
        <v>0</v>
      </c>
      <c r="AF150" s="29">
        <v>0</v>
      </c>
      <c r="AG150" s="29">
        <v>0</v>
      </c>
      <c r="AH150" s="167">
        <f t="shared" si="44"/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167">
        <f t="shared" si="45"/>
        <v>0</v>
      </c>
      <c r="AS150" s="167">
        <f t="shared" si="46"/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167">
        <f t="shared" si="47"/>
        <v>0</v>
      </c>
      <c r="BA150" s="29">
        <v>0</v>
      </c>
      <c r="BB150" s="29">
        <v>0</v>
      </c>
      <c r="BC150" s="29">
        <v>0</v>
      </c>
      <c r="BD150" s="29">
        <v>0</v>
      </c>
      <c r="BE150" s="29">
        <v>0</v>
      </c>
      <c r="BF150" s="29">
        <v>0</v>
      </c>
      <c r="BG150" s="29">
        <v>0</v>
      </c>
      <c r="BH150" s="29">
        <v>0</v>
      </c>
      <c r="BI150" s="29">
        <v>0</v>
      </c>
      <c r="BJ150" s="167">
        <f t="shared" si="48"/>
        <v>0</v>
      </c>
      <c r="BK150" s="167">
        <f t="shared" si="49"/>
        <v>0</v>
      </c>
      <c r="BL150" s="167">
        <f>$BO$9+SUMPRODUCT($D$10:D150,$BK$10:BK150)</f>
        <v>3.8660728931427002</v>
      </c>
      <c r="BM150" s="30">
        <f t="shared" si="50"/>
        <v>4.9000000000000004</v>
      </c>
      <c r="BN150" s="167">
        <f t="shared" si="53"/>
        <v>0</v>
      </c>
      <c r="BO150" s="168">
        <f t="shared" si="51"/>
        <v>0</v>
      </c>
      <c r="BP150" s="40">
        <f t="shared" si="54"/>
        <v>0</v>
      </c>
      <c r="BQ150" s="40">
        <f t="shared" si="55"/>
        <v>0</v>
      </c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x14ac:dyDescent="0.25">
      <c r="A151" s="169">
        <f t="shared" si="52"/>
        <v>142</v>
      </c>
      <c r="B151" s="170">
        <f t="shared" si="52"/>
        <v>2165</v>
      </c>
      <c r="C151" s="29">
        <v>4.9000000000000004</v>
      </c>
      <c r="D151" s="167">
        <f t="shared" si="56"/>
        <v>1.1299999999999999E-3</v>
      </c>
      <c r="E151" s="29">
        <v>0</v>
      </c>
      <c r="F151" s="167">
        <f t="shared" si="38"/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167">
        <f t="shared" si="41"/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167">
        <f t="shared" si="42"/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167">
        <f t="shared" si="43"/>
        <v>0</v>
      </c>
      <c r="AD151" s="29">
        <v>0</v>
      </c>
      <c r="AE151" s="29">
        <v>0</v>
      </c>
      <c r="AF151" s="29">
        <v>0</v>
      </c>
      <c r="AG151" s="29">
        <v>0</v>
      </c>
      <c r="AH151" s="167">
        <f t="shared" si="44"/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167">
        <f t="shared" si="45"/>
        <v>0</v>
      </c>
      <c r="AS151" s="167">
        <f t="shared" si="46"/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0</v>
      </c>
      <c r="AZ151" s="167">
        <f t="shared" si="47"/>
        <v>0</v>
      </c>
      <c r="BA151" s="29">
        <v>0</v>
      </c>
      <c r="BB151" s="29">
        <v>0</v>
      </c>
      <c r="BC151" s="29">
        <v>0</v>
      </c>
      <c r="BD151" s="29">
        <v>0</v>
      </c>
      <c r="BE151" s="29">
        <v>0</v>
      </c>
      <c r="BF151" s="29">
        <v>0</v>
      </c>
      <c r="BG151" s="29">
        <v>0</v>
      </c>
      <c r="BH151" s="29">
        <v>0</v>
      </c>
      <c r="BI151" s="29">
        <v>0</v>
      </c>
      <c r="BJ151" s="167">
        <f t="shared" si="48"/>
        <v>0</v>
      </c>
      <c r="BK151" s="167">
        <f t="shared" si="49"/>
        <v>0</v>
      </c>
      <c r="BL151" s="167">
        <f>$BO$9+SUMPRODUCT($D$10:D151,$BK$10:BK151)</f>
        <v>3.8660728931427002</v>
      </c>
      <c r="BM151" s="30">
        <f t="shared" si="50"/>
        <v>4.9000000000000004</v>
      </c>
      <c r="BN151" s="167">
        <f t="shared" si="53"/>
        <v>0</v>
      </c>
      <c r="BO151" s="168">
        <f t="shared" si="51"/>
        <v>0</v>
      </c>
      <c r="BP151" s="40">
        <f t="shared" si="54"/>
        <v>0</v>
      </c>
      <c r="BQ151" s="40">
        <f t="shared" si="55"/>
        <v>0</v>
      </c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x14ac:dyDescent="0.25">
      <c r="A152" s="169">
        <f t="shared" si="52"/>
        <v>143</v>
      </c>
      <c r="B152" s="170">
        <f t="shared" si="52"/>
        <v>2166</v>
      </c>
      <c r="C152" s="29">
        <v>4.9000000000000004</v>
      </c>
      <c r="D152" s="167">
        <f t="shared" si="56"/>
        <v>1.08E-3</v>
      </c>
      <c r="E152" s="29">
        <v>0</v>
      </c>
      <c r="F152" s="167">
        <f t="shared" si="38"/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167">
        <f t="shared" si="41"/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167">
        <f t="shared" si="42"/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167">
        <f t="shared" si="43"/>
        <v>0</v>
      </c>
      <c r="AD152" s="29">
        <v>0</v>
      </c>
      <c r="AE152" s="29">
        <v>0</v>
      </c>
      <c r="AF152" s="29">
        <v>0</v>
      </c>
      <c r="AG152" s="29">
        <v>0</v>
      </c>
      <c r="AH152" s="167">
        <f t="shared" si="44"/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167">
        <f t="shared" si="45"/>
        <v>0</v>
      </c>
      <c r="AS152" s="167">
        <f t="shared" si="46"/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167">
        <f t="shared" si="47"/>
        <v>0</v>
      </c>
      <c r="BA152" s="29">
        <v>0</v>
      </c>
      <c r="BB152" s="29">
        <v>0</v>
      </c>
      <c r="BC152" s="29">
        <v>0</v>
      </c>
      <c r="BD152" s="29">
        <v>0</v>
      </c>
      <c r="BE152" s="29">
        <v>0</v>
      </c>
      <c r="BF152" s="29">
        <v>0</v>
      </c>
      <c r="BG152" s="29">
        <v>0</v>
      </c>
      <c r="BH152" s="29">
        <v>0</v>
      </c>
      <c r="BI152" s="29">
        <v>0</v>
      </c>
      <c r="BJ152" s="167">
        <f t="shared" si="48"/>
        <v>0</v>
      </c>
      <c r="BK152" s="167">
        <f t="shared" si="49"/>
        <v>0</v>
      </c>
      <c r="BL152" s="167">
        <f>$BO$9+SUMPRODUCT($D$10:D152,$BK$10:BK152)</f>
        <v>3.8660728931427002</v>
      </c>
      <c r="BM152" s="30">
        <f t="shared" si="50"/>
        <v>4.9000000000000004</v>
      </c>
      <c r="BN152" s="167">
        <f t="shared" si="53"/>
        <v>0</v>
      </c>
      <c r="BO152" s="168">
        <f t="shared" si="51"/>
        <v>0</v>
      </c>
      <c r="BP152" s="40">
        <f t="shared" si="54"/>
        <v>0</v>
      </c>
      <c r="BQ152" s="40">
        <f t="shared" si="55"/>
        <v>0</v>
      </c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x14ac:dyDescent="0.25">
      <c r="A153" s="169">
        <f t="shared" si="52"/>
        <v>144</v>
      </c>
      <c r="B153" s="170">
        <f t="shared" si="52"/>
        <v>2167</v>
      </c>
      <c r="C153" s="29">
        <v>4.9000000000000004</v>
      </c>
      <c r="D153" s="167">
        <f t="shared" si="56"/>
        <v>1.0300000000000001E-3</v>
      </c>
      <c r="E153" s="29">
        <v>0</v>
      </c>
      <c r="F153" s="167">
        <f t="shared" si="38"/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167">
        <f t="shared" si="41"/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167">
        <f t="shared" si="42"/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167">
        <f t="shared" si="43"/>
        <v>0</v>
      </c>
      <c r="AD153" s="29">
        <v>0</v>
      </c>
      <c r="AE153" s="29">
        <v>0</v>
      </c>
      <c r="AF153" s="29">
        <v>0</v>
      </c>
      <c r="AG153" s="29">
        <v>0</v>
      </c>
      <c r="AH153" s="167">
        <f t="shared" si="44"/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167">
        <f t="shared" si="45"/>
        <v>0</v>
      </c>
      <c r="AS153" s="167">
        <f t="shared" si="46"/>
        <v>0</v>
      </c>
      <c r="AT153" s="29">
        <v>0</v>
      </c>
      <c r="AU153" s="29">
        <v>0</v>
      </c>
      <c r="AV153" s="29">
        <v>0</v>
      </c>
      <c r="AW153" s="29">
        <v>0</v>
      </c>
      <c r="AX153" s="29">
        <v>0</v>
      </c>
      <c r="AY153" s="29">
        <v>0</v>
      </c>
      <c r="AZ153" s="167">
        <f t="shared" si="47"/>
        <v>0</v>
      </c>
      <c r="BA153" s="29">
        <v>0</v>
      </c>
      <c r="BB153" s="29">
        <v>0</v>
      </c>
      <c r="BC153" s="29">
        <v>0</v>
      </c>
      <c r="BD153" s="29">
        <v>0</v>
      </c>
      <c r="BE153" s="29">
        <v>0</v>
      </c>
      <c r="BF153" s="29">
        <v>0</v>
      </c>
      <c r="BG153" s="29">
        <v>0</v>
      </c>
      <c r="BH153" s="29">
        <v>0</v>
      </c>
      <c r="BI153" s="29">
        <v>0</v>
      </c>
      <c r="BJ153" s="167">
        <f t="shared" si="48"/>
        <v>0</v>
      </c>
      <c r="BK153" s="167">
        <f t="shared" si="49"/>
        <v>0</v>
      </c>
      <c r="BL153" s="167">
        <f>$BO$9+SUMPRODUCT($D$10:D153,$BK$10:BK153)</f>
        <v>3.8660728931427002</v>
      </c>
      <c r="BM153" s="30">
        <f t="shared" si="50"/>
        <v>4.9000000000000004</v>
      </c>
      <c r="BN153" s="167">
        <f t="shared" si="53"/>
        <v>0</v>
      </c>
      <c r="BO153" s="168">
        <f t="shared" si="51"/>
        <v>0</v>
      </c>
      <c r="BP153" s="40">
        <f t="shared" si="54"/>
        <v>0</v>
      </c>
      <c r="BQ153" s="40">
        <f t="shared" si="55"/>
        <v>0</v>
      </c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x14ac:dyDescent="0.25">
      <c r="A154" s="169">
        <f t="shared" si="52"/>
        <v>145</v>
      </c>
      <c r="B154" s="170">
        <f t="shared" si="52"/>
        <v>2168</v>
      </c>
      <c r="C154" s="29">
        <v>4.9000000000000004</v>
      </c>
      <c r="D154" s="167">
        <f t="shared" si="56"/>
        <v>9.7999999999999997E-4</v>
      </c>
      <c r="E154" s="29">
        <v>0</v>
      </c>
      <c r="F154" s="167">
        <f t="shared" si="38"/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167">
        <f t="shared" si="41"/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167">
        <f t="shared" si="42"/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167">
        <f t="shared" si="43"/>
        <v>0</v>
      </c>
      <c r="AD154" s="29">
        <v>0</v>
      </c>
      <c r="AE154" s="29">
        <v>0</v>
      </c>
      <c r="AF154" s="29">
        <v>0</v>
      </c>
      <c r="AG154" s="29">
        <v>0</v>
      </c>
      <c r="AH154" s="167">
        <f t="shared" si="44"/>
        <v>0</v>
      </c>
      <c r="AI154" s="29">
        <v>0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167">
        <f t="shared" si="45"/>
        <v>0</v>
      </c>
      <c r="AS154" s="167">
        <f t="shared" si="46"/>
        <v>0</v>
      </c>
      <c r="AT154" s="29">
        <v>0</v>
      </c>
      <c r="AU154" s="29">
        <v>0</v>
      </c>
      <c r="AV154" s="29">
        <v>0</v>
      </c>
      <c r="AW154" s="29">
        <v>0</v>
      </c>
      <c r="AX154" s="29">
        <v>0</v>
      </c>
      <c r="AY154" s="29">
        <v>0</v>
      </c>
      <c r="AZ154" s="167">
        <f t="shared" si="47"/>
        <v>0</v>
      </c>
      <c r="BA154" s="29">
        <v>0</v>
      </c>
      <c r="BB154" s="29">
        <v>0</v>
      </c>
      <c r="BC154" s="29">
        <v>0</v>
      </c>
      <c r="BD154" s="29">
        <v>0</v>
      </c>
      <c r="BE154" s="29">
        <v>0</v>
      </c>
      <c r="BF154" s="29">
        <v>0</v>
      </c>
      <c r="BG154" s="29">
        <v>0</v>
      </c>
      <c r="BH154" s="29">
        <v>0</v>
      </c>
      <c r="BI154" s="29">
        <v>0</v>
      </c>
      <c r="BJ154" s="167">
        <f t="shared" si="48"/>
        <v>0</v>
      </c>
      <c r="BK154" s="167">
        <f t="shared" si="49"/>
        <v>0</v>
      </c>
      <c r="BL154" s="167">
        <f>$BO$9+SUMPRODUCT($D$10:D154,$BK$10:BK154)</f>
        <v>3.8660728931427002</v>
      </c>
      <c r="BM154" s="30">
        <f t="shared" si="50"/>
        <v>4.9000000000000004</v>
      </c>
      <c r="BN154" s="167">
        <f t="shared" si="53"/>
        <v>0</v>
      </c>
      <c r="BO154" s="168">
        <f t="shared" si="51"/>
        <v>0</v>
      </c>
      <c r="BP154" s="40">
        <f t="shared" si="54"/>
        <v>0</v>
      </c>
      <c r="BQ154" s="40">
        <f t="shared" si="55"/>
        <v>0</v>
      </c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x14ac:dyDescent="0.25">
      <c r="A155" s="169">
        <f t="shared" ref="A155:B159" si="57">A154+1</f>
        <v>146</v>
      </c>
      <c r="B155" s="170">
        <f t="shared" si="57"/>
        <v>2169</v>
      </c>
      <c r="C155" s="29">
        <v>4.9000000000000004</v>
      </c>
      <c r="D155" s="167">
        <f t="shared" si="56"/>
        <v>9.3000000000000005E-4</v>
      </c>
      <c r="E155" s="29">
        <v>0</v>
      </c>
      <c r="F155" s="167">
        <f t="shared" si="38"/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167">
        <f t="shared" si="41"/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167">
        <f t="shared" si="42"/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167">
        <f t="shared" si="43"/>
        <v>0</v>
      </c>
      <c r="AD155" s="29">
        <v>0</v>
      </c>
      <c r="AE155" s="29">
        <v>0</v>
      </c>
      <c r="AF155" s="29">
        <v>0</v>
      </c>
      <c r="AG155" s="29">
        <v>0</v>
      </c>
      <c r="AH155" s="167">
        <f t="shared" si="44"/>
        <v>0</v>
      </c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167">
        <f t="shared" si="45"/>
        <v>0</v>
      </c>
      <c r="AS155" s="167">
        <f t="shared" si="46"/>
        <v>0</v>
      </c>
      <c r="AT155" s="29"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</v>
      </c>
      <c r="AZ155" s="167">
        <f t="shared" si="47"/>
        <v>0</v>
      </c>
      <c r="BA155" s="29">
        <v>0</v>
      </c>
      <c r="BB155" s="29">
        <v>0</v>
      </c>
      <c r="BC155" s="29">
        <v>0</v>
      </c>
      <c r="BD155" s="29">
        <v>0</v>
      </c>
      <c r="BE155" s="29">
        <v>0</v>
      </c>
      <c r="BF155" s="29">
        <v>0</v>
      </c>
      <c r="BG155" s="29">
        <v>0</v>
      </c>
      <c r="BH155" s="29">
        <v>0</v>
      </c>
      <c r="BI155" s="29">
        <v>0</v>
      </c>
      <c r="BJ155" s="167">
        <f t="shared" si="48"/>
        <v>0</v>
      </c>
      <c r="BK155" s="167">
        <f t="shared" si="49"/>
        <v>0</v>
      </c>
      <c r="BL155" s="167">
        <f>$BO$9+SUMPRODUCT($D$10:D155,$BK$10:BK155)</f>
        <v>3.8660728931427002</v>
      </c>
      <c r="BM155" s="30">
        <f t="shared" si="50"/>
        <v>4.9000000000000004</v>
      </c>
      <c r="BN155" s="167">
        <f t="shared" si="53"/>
        <v>0</v>
      </c>
      <c r="BO155" s="168">
        <f t="shared" si="51"/>
        <v>0</v>
      </c>
      <c r="BP155" s="40">
        <f t="shared" si="54"/>
        <v>0</v>
      </c>
      <c r="BQ155" s="40">
        <f t="shared" si="55"/>
        <v>0</v>
      </c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 x14ac:dyDescent="0.25">
      <c r="A156" s="169">
        <f t="shared" si="57"/>
        <v>147</v>
      </c>
      <c r="B156" s="170">
        <f t="shared" si="57"/>
        <v>2170</v>
      </c>
      <c r="C156" s="29">
        <v>4.9000000000000004</v>
      </c>
      <c r="D156" s="167">
        <f t="shared" si="56"/>
        <v>8.8999999999999995E-4</v>
      </c>
      <c r="E156" s="29">
        <v>0</v>
      </c>
      <c r="F156" s="167">
        <f t="shared" si="38"/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167">
        <f t="shared" si="41"/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167">
        <f t="shared" si="42"/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167">
        <f t="shared" si="43"/>
        <v>0</v>
      </c>
      <c r="AD156" s="29">
        <v>0</v>
      </c>
      <c r="AE156" s="29">
        <v>0</v>
      </c>
      <c r="AF156" s="29">
        <v>0</v>
      </c>
      <c r="AG156" s="29">
        <v>0</v>
      </c>
      <c r="AH156" s="167">
        <f t="shared" si="44"/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167">
        <f t="shared" si="45"/>
        <v>0</v>
      </c>
      <c r="AS156" s="167">
        <f t="shared" si="46"/>
        <v>0</v>
      </c>
      <c r="AT156" s="29">
        <v>0</v>
      </c>
      <c r="AU156" s="29">
        <v>0</v>
      </c>
      <c r="AV156" s="29">
        <v>0</v>
      </c>
      <c r="AW156" s="29">
        <v>0</v>
      </c>
      <c r="AX156" s="29">
        <v>0</v>
      </c>
      <c r="AY156" s="29">
        <v>0</v>
      </c>
      <c r="AZ156" s="167">
        <f t="shared" si="47"/>
        <v>0</v>
      </c>
      <c r="BA156" s="29">
        <v>0</v>
      </c>
      <c r="BB156" s="29">
        <v>0</v>
      </c>
      <c r="BC156" s="29">
        <v>0</v>
      </c>
      <c r="BD156" s="29">
        <v>0</v>
      </c>
      <c r="BE156" s="29">
        <v>0</v>
      </c>
      <c r="BF156" s="29">
        <v>0</v>
      </c>
      <c r="BG156" s="29">
        <v>0</v>
      </c>
      <c r="BH156" s="29">
        <v>0</v>
      </c>
      <c r="BI156" s="29">
        <v>0</v>
      </c>
      <c r="BJ156" s="167">
        <f t="shared" si="48"/>
        <v>0</v>
      </c>
      <c r="BK156" s="167">
        <f t="shared" si="49"/>
        <v>0</v>
      </c>
      <c r="BL156" s="167">
        <f>$BO$9+SUMPRODUCT($D$10:D156,$BK$10:BK156)</f>
        <v>3.8660728931427002</v>
      </c>
      <c r="BM156" s="30">
        <f t="shared" si="50"/>
        <v>4.9000000000000004</v>
      </c>
      <c r="BN156" s="167">
        <f t="shared" si="53"/>
        <v>0</v>
      </c>
      <c r="BO156" s="168">
        <f t="shared" si="51"/>
        <v>0</v>
      </c>
      <c r="BP156" s="40">
        <f t="shared" si="54"/>
        <v>0</v>
      </c>
      <c r="BQ156" s="40">
        <f t="shared" si="55"/>
        <v>0</v>
      </c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x14ac:dyDescent="0.25">
      <c r="A157" s="169">
        <f t="shared" si="57"/>
        <v>148</v>
      </c>
      <c r="B157" s="170">
        <f t="shared" si="57"/>
        <v>2171</v>
      </c>
      <c r="C157" s="29">
        <v>4.9000000000000004</v>
      </c>
      <c r="D157" s="167">
        <f t="shared" si="56"/>
        <v>8.4999999999999995E-4</v>
      </c>
      <c r="E157" s="29">
        <v>0</v>
      </c>
      <c r="F157" s="167">
        <f t="shared" si="38"/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167">
        <f t="shared" si="41"/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167">
        <f t="shared" si="42"/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29">
        <v>0</v>
      </c>
      <c r="AB157" s="29">
        <v>0</v>
      </c>
      <c r="AC157" s="167">
        <f t="shared" si="43"/>
        <v>0</v>
      </c>
      <c r="AD157" s="29">
        <v>0</v>
      </c>
      <c r="AE157" s="29">
        <v>0</v>
      </c>
      <c r="AF157" s="29">
        <v>0</v>
      </c>
      <c r="AG157" s="29">
        <v>0</v>
      </c>
      <c r="AH157" s="167">
        <f t="shared" si="44"/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167">
        <f t="shared" si="45"/>
        <v>0</v>
      </c>
      <c r="AS157" s="167">
        <f t="shared" si="46"/>
        <v>0</v>
      </c>
      <c r="AT157" s="29">
        <v>0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167">
        <f t="shared" si="47"/>
        <v>0</v>
      </c>
      <c r="BA157" s="29">
        <v>0</v>
      </c>
      <c r="BB157" s="29">
        <v>0</v>
      </c>
      <c r="BC157" s="29">
        <v>0</v>
      </c>
      <c r="BD157" s="29">
        <v>0</v>
      </c>
      <c r="BE157" s="29">
        <v>0</v>
      </c>
      <c r="BF157" s="29">
        <v>0</v>
      </c>
      <c r="BG157" s="29">
        <v>0</v>
      </c>
      <c r="BH157" s="29">
        <v>0</v>
      </c>
      <c r="BI157" s="29">
        <v>0</v>
      </c>
      <c r="BJ157" s="167">
        <f t="shared" si="48"/>
        <v>0</v>
      </c>
      <c r="BK157" s="167">
        <f t="shared" si="49"/>
        <v>0</v>
      </c>
      <c r="BL157" s="167">
        <f>$BO$9+SUMPRODUCT($D$10:D157,$BK$10:BK157)</f>
        <v>3.8660728931427002</v>
      </c>
      <c r="BM157" s="30">
        <f t="shared" si="50"/>
        <v>4.9000000000000004</v>
      </c>
      <c r="BN157" s="167">
        <f t="shared" si="53"/>
        <v>0</v>
      </c>
      <c r="BO157" s="168">
        <f t="shared" si="51"/>
        <v>0</v>
      </c>
      <c r="BP157" s="40">
        <f t="shared" si="54"/>
        <v>0</v>
      </c>
      <c r="BQ157" s="40">
        <f t="shared" si="55"/>
        <v>0</v>
      </c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x14ac:dyDescent="0.25">
      <c r="A158" s="169">
        <f t="shared" si="57"/>
        <v>149</v>
      </c>
      <c r="B158" s="170">
        <f t="shared" si="57"/>
        <v>2172</v>
      </c>
      <c r="C158" s="29">
        <v>4.9000000000000004</v>
      </c>
      <c r="D158" s="167">
        <f t="shared" si="56"/>
        <v>8.0999999999999996E-4</v>
      </c>
      <c r="E158" s="29">
        <v>0</v>
      </c>
      <c r="F158" s="167">
        <f t="shared" si="38"/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167">
        <f t="shared" si="41"/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167">
        <f t="shared" si="42"/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167">
        <f t="shared" si="43"/>
        <v>0</v>
      </c>
      <c r="AD158" s="29">
        <v>0</v>
      </c>
      <c r="AE158" s="29">
        <v>0</v>
      </c>
      <c r="AF158" s="29">
        <v>0</v>
      </c>
      <c r="AG158" s="29">
        <v>0</v>
      </c>
      <c r="AH158" s="167">
        <f t="shared" si="44"/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167">
        <f t="shared" si="45"/>
        <v>0</v>
      </c>
      <c r="AS158" s="167">
        <f t="shared" si="46"/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167">
        <f t="shared" si="47"/>
        <v>0</v>
      </c>
      <c r="BA158" s="29">
        <v>0</v>
      </c>
      <c r="BB158" s="29">
        <v>0</v>
      </c>
      <c r="BC158" s="29">
        <v>0</v>
      </c>
      <c r="BD158" s="29">
        <v>0</v>
      </c>
      <c r="BE158" s="29">
        <v>0</v>
      </c>
      <c r="BF158" s="29">
        <v>0</v>
      </c>
      <c r="BG158" s="29">
        <v>0</v>
      </c>
      <c r="BH158" s="29">
        <v>0</v>
      </c>
      <c r="BI158" s="29">
        <v>0</v>
      </c>
      <c r="BJ158" s="167">
        <f t="shared" si="48"/>
        <v>0</v>
      </c>
      <c r="BK158" s="167">
        <f t="shared" si="49"/>
        <v>0</v>
      </c>
      <c r="BL158" s="167">
        <f>$BO$9+SUMPRODUCT($D$10:D158,$BK$10:BK158)</f>
        <v>3.8660728931427002</v>
      </c>
      <c r="BM158" s="30">
        <f t="shared" si="50"/>
        <v>4.9000000000000004</v>
      </c>
      <c r="BN158" s="167">
        <f t="shared" si="53"/>
        <v>0</v>
      </c>
      <c r="BO158" s="168">
        <f t="shared" si="51"/>
        <v>0</v>
      </c>
      <c r="BP158" s="40">
        <f t="shared" si="54"/>
        <v>0</v>
      </c>
      <c r="BQ158" s="40">
        <f t="shared" si="55"/>
        <v>0</v>
      </c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ht="16.5" thickBot="1" x14ac:dyDescent="0.3">
      <c r="A159" s="171">
        <f t="shared" si="57"/>
        <v>150</v>
      </c>
      <c r="B159" s="172">
        <f t="shared" si="57"/>
        <v>2173</v>
      </c>
      <c r="C159" s="29">
        <v>4.9000000000000004</v>
      </c>
      <c r="D159" s="167">
        <f t="shared" ref="D159" si="58">(1+C159/100)^-1*D158</f>
        <v>7.721639656816015E-4</v>
      </c>
      <c r="E159" s="29">
        <v>0</v>
      </c>
      <c r="F159" s="167">
        <f t="shared" si="38"/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167">
        <f t="shared" si="41"/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167">
        <f t="shared" si="42"/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167">
        <f t="shared" si="43"/>
        <v>0</v>
      </c>
      <c r="AD159" s="173">
        <v>0</v>
      </c>
      <c r="AE159" s="173">
        <v>0</v>
      </c>
      <c r="AF159" s="173">
        <v>0</v>
      </c>
      <c r="AG159" s="173">
        <v>0</v>
      </c>
      <c r="AH159" s="167">
        <f t="shared" si="44"/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167">
        <f t="shared" si="45"/>
        <v>0</v>
      </c>
      <c r="AS159" s="167">
        <f t="shared" si="46"/>
        <v>0</v>
      </c>
      <c r="AT159" s="29">
        <v>0</v>
      </c>
      <c r="AU159" s="29">
        <v>0</v>
      </c>
      <c r="AV159" s="29">
        <v>0</v>
      </c>
      <c r="AW159" s="29">
        <v>0</v>
      </c>
      <c r="AX159" s="29">
        <v>0</v>
      </c>
      <c r="AY159" s="29">
        <v>0</v>
      </c>
      <c r="AZ159" s="167">
        <f t="shared" si="47"/>
        <v>0</v>
      </c>
      <c r="BA159" s="29">
        <v>0</v>
      </c>
      <c r="BB159" s="29">
        <v>0</v>
      </c>
      <c r="BC159" s="29">
        <v>0</v>
      </c>
      <c r="BD159" s="29">
        <v>0</v>
      </c>
      <c r="BE159" s="29">
        <v>0</v>
      </c>
      <c r="BF159" s="29">
        <v>0</v>
      </c>
      <c r="BG159" s="29">
        <v>0</v>
      </c>
      <c r="BH159" s="29">
        <v>0</v>
      </c>
      <c r="BI159" s="29">
        <v>0</v>
      </c>
      <c r="BJ159" s="167">
        <f t="shared" si="48"/>
        <v>0</v>
      </c>
      <c r="BK159" s="167">
        <f t="shared" si="49"/>
        <v>0</v>
      </c>
      <c r="BL159" s="167">
        <f>$BO$9+SUMPRODUCT($D$10:D159,$BK$10:BK159)</f>
        <v>3.8660728931427002</v>
      </c>
      <c r="BM159" s="30">
        <f t="shared" si="50"/>
        <v>4.9000000000000004</v>
      </c>
      <c r="BN159" s="167">
        <f t="shared" si="53"/>
        <v>0</v>
      </c>
      <c r="BO159" s="168">
        <f t="shared" si="51"/>
        <v>0</v>
      </c>
      <c r="BP159" s="40">
        <f t="shared" si="54"/>
        <v>0</v>
      </c>
      <c r="BQ159" s="40">
        <f t="shared" si="55"/>
        <v>0</v>
      </c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s="182" customFormat="1" ht="16.5" thickBot="1" x14ac:dyDescent="0.3">
      <c r="A160" s="174" t="s">
        <v>76</v>
      </c>
      <c r="B160" s="175"/>
      <c r="C160" s="176"/>
      <c r="D160" s="177"/>
      <c r="E160" s="178">
        <f t="shared" ref="E160:AJ160" si="59">ROUND(SUM(E10:E159),2)</f>
        <v>7225209131.1099997</v>
      </c>
      <c r="F160" s="178">
        <f t="shared" si="59"/>
        <v>32869077.219999999</v>
      </c>
      <c r="G160" s="178">
        <f t="shared" si="59"/>
        <v>24058369.469999999</v>
      </c>
      <c r="H160" s="178">
        <f t="shared" si="59"/>
        <v>8810707.75</v>
      </c>
      <c r="I160" s="178">
        <f t="shared" si="59"/>
        <v>0</v>
      </c>
      <c r="J160" s="178">
        <f t="shared" si="59"/>
        <v>0</v>
      </c>
      <c r="K160" s="178">
        <f t="shared" si="59"/>
        <v>88389.56</v>
      </c>
      <c r="L160" s="178">
        <f t="shared" si="59"/>
        <v>125793905.5</v>
      </c>
      <c r="M160" s="178">
        <f t="shared" si="59"/>
        <v>671651818.78999996</v>
      </c>
      <c r="N160" s="178">
        <f t="shared" si="59"/>
        <v>387181183.39999998</v>
      </c>
      <c r="O160" s="178">
        <f t="shared" si="59"/>
        <v>188902454.21000001</v>
      </c>
      <c r="P160" s="178">
        <f t="shared" si="59"/>
        <v>0</v>
      </c>
      <c r="Q160" s="178">
        <f t="shared" si="59"/>
        <v>25826885.690000001</v>
      </c>
      <c r="R160" s="178">
        <f t="shared" si="59"/>
        <v>51982575.850000001</v>
      </c>
      <c r="S160" s="178">
        <f t="shared" si="59"/>
        <v>17758719.640000001</v>
      </c>
      <c r="T160" s="178">
        <f t="shared" si="59"/>
        <v>0</v>
      </c>
      <c r="U160" s="178">
        <f t="shared" si="59"/>
        <v>522395859.06</v>
      </c>
      <c r="V160" s="178">
        <f t="shared" si="59"/>
        <v>301140920.43000001</v>
      </c>
      <c r="W160" s="178">
        <f t="shared" si="59"/>
        <v>146924131.06</v>
      </c>
      <c r="X160" s="178">
        <f t="shared" si="59"/>
        <v>0</v>
      </c>
      <c r="Y160" s="178">
        <f t="shared" si="59"/>
        <v>20087577.760000002</v>
      </c>
      <c r="Z160" s="178">
        <f t="shared" si="59"/>
        <v>40430892.32</v>
      </c>
      <c r="AA160" s="178">
        <f t="shared" si="59"/>
        <v>13812337.49</v>
      </c>
      <c r="AB160" s="178">
        <f t="shared" si="59"/>
        <v>0</v>
      </c>
      <c r="AC160" s="178">
        <f t="shared" si="59"/>
        <v>0</v>
      </c>
      <c r="AD160" s="178">
        <f t="shared" si="59"/>
        <v>0</v>
      </c>
      <c r="AE160" s="178">
        <f t="shared" si="59"/>
        <v>0</v>
      </c>
      <c r="AF160" s="178">
        <f t="shared" si="59"/>
        <v>0</v>
      </c>
      <c r="AG160" s="178">
        <f t="shared" si="59"/>
        <v>0</v>
      </c>
      <c r="AH160" s="178">
        <f t="shared" si="59"/>
        <v>0</v>
      </c>
      <c r="AI160" s="178">
        <f t="shared" si="59"/>
        <v>0</v>
      </c>
      <c r="AJ160" s="178">
        <f t="shared" si="59"/>
        <v>0</v>
      </c>
      <c r="AK160" s="178">
        <f t="shared" ref="AK160:BK160" si="60">ROUND(SUM(AK10:AK159),2)</f>
        <v>0</v>
      </c>
      <c r="AL160" s="178">
        <f t="shared" si="60"/>
        <v>0</v>
      </c>
      <c r="AM160" s="178">
        <f t="shared" si="60"/>
        <v>0</v>
      </c>
      <c r="AN160" s="178">
        <f t="shared" si="60"/>
        <v>368520296.33999997</v>
      </c>
      <c r="AO160" s="178">
        <f>ROUND(SUM(AO10:AO159),2)</f>
        <v>2139844107.1099999</v>
      </c>
      <c r="AP160" s="178">
        <f t="shared" si="60"/>
        <v>0</v>
      </c>
      <c r="AQ160" s="178">
        <f t="shared" si="60"/>
        <v>0</v>
      </c>
      <c r="AR160" s="178">
        <f t="shared" si="60"/>
        <v>3861163453.5700002</v>
      </c>
      <c r="AS160" s="178">
        <f t="shared" si="60"/>
        <v>2101284173.53</v>
      </c>
      <c r="AT160" s="178">
        <f t="shared" si="60"/>
        <v>1214988480.47</v>
      </c>
      <c r="AU160" s="178">
        <f t="shared" si="60"/>
        <v>670150231.98000002</v>
      </c>
      <c r="AV160" s="178">
        <f t="shared" si="60"/>
        <v>9607757.9600000009</v>
      </c>
      <c r="AW160" s="178">
        <f t="shared" si="60"/>
        <v>114476319.04000001</v>
      </c>
      <c r="AX160" s="178">
        <f t="shared" si="60"/>
        <v>87342333.439999998</v>
      </c>
      <c r="AY160" s="178">
        <f t="shared" si="60"/>
        <v>4719050.6399999997</v>
      </c>
      <c r="AZ160" s="178">
        <f t="shared" si="60"/>
        <v>6167376876.5</v>
      </c>
      <c r="BA160" s="178">
        <f t="shared" si="60"/>
        <v>2700481485.4899998</v>
      </c>
      <c r="BB160" s="178">
        <f t="shared" si="60"/>
        <v>2209843848.9699998</v>
      </c>
      <c r="BC160" s="178">
        <f t="shared" si="60"/>
        <v>0</v>
      </c>
      <c r="BD160" s="178">
        <f t="shared" si="60"/>
        <v>285999289.45999998</v>
      </c>
      <c r="BE160" s="178">
        <f t="shared" si="60"/>
        <v>498794691.30000001</v>
      </c>
      <c r="BF160" s="178">
        <f t="shared" si="60"/>
        <v>446885625.49000001</v>
      </c>
      <c r="BG160" s="178">
        <f t="shared" si="60"/>
        <v>0</v>
      </c>
      <c r="BH160" s="178">
        <f t="shared" si="60"/>
        <v>25371935.789999999</v>
      </c>
      <c r="BI160" s="178">
        <f t="shared" si="60"/>
        <v>0</v>
      </c>
      <c r="BJ160" s="178">
        <f t="shared" si="60"/>
        <v>8268661050.0299997</v>
      </c>
      <c r="BK160" s="178">
        <f t="shared" si="60"/>
        <v>-4407497596.46</v>
      </c>
      <c r="BL160" s="179" t="str">
        <f>IF(AND(A1="FLUXO ATUARIAL   -   CIVIL   -   PLANO PREVIDENCIÁRIO   -   BENEFÍCIOS AVALIADOS EM REGIME FINANCEIRO DE CAPITALIZAÇÃO   -   GERAÇÃO ATUAL",BL161&gt;0),"SUPERÁVIT ATUARIAL",IF(AND(A1="FLUXO ATUARIAL   -   CIVIL   -   PLANO PREVIDENCIÁRIO   -   BENEFÍCIOS AVALIADOS EM REGIME FINANCEIRO DE CAPITALIZAÇÃO   -   GERAÇÃO ATUAL",BL161=0),"EQUILÍBRIO ATUARIAL","DÉFICIT ATUARIAL"))</f>
        <v>SUPERÁVIT ATUARIAL</v>
      </c>
      <c r="BM160" s="180"/>
      <c r="BN160" s="176"/>
      <c r="BO160" s="181"/>
      <c r="BP160" s="41">
        <f>SUM(BP10:BP159)</f>
        <v>2806795760.0775285</v>
      </c>
      <c r="BQ160" s="41">
        <f>SUM(BQ10:BQ159)</f>
        <v>53224378367.903114</v>
      </c>
    </row>
    <row r="161" spans="1:69" ht="16.5" thickBot="1" x14ac:dyDescent="0.3">
      <c r="A161" s="183" t="s">
        <v>77</v>
      </c>
      <c r="B161" s="184"/>
      <c r="C161" s="185"/>
      <c r="D161" s="186"/>
      <c r="E161" s="187">
        <f>ROUND(SUMPRODUCT($D$10:$D$159,E10:E159),2)</f>
        <v>2214604749.4299998</v>
      </c>
      <c r="F161" s="187">
        <f>ROUND(SUM(G161:J161),2)</f>
        <v>18852233.91</v>
      </c>
      <c r="G161" s="187">
        <f t="shared" ref="G161:L161" si="61">ROUND(SUMPRODUCT($D$10:$D$159,G10:G159),2)</f>
        <v>14197251.6</v>
      </c>
      <c r="H161" s="187">
        <f t="shared" si="61"/>
        <v>4654982.3099999996</v>
      </c>
      <c r="I161" s="187">
        <f t="shared" si="61"/>
        <v>0</v>
      </c>
      <c r="J161" s="187">
        <f t="shared" si="61"/>
        <v>0</v>
      </c>
      <c r="K161" s="187">
        <f t="shared" si="61"/>
        <v>58769.98</v>
      </c>
      <c r="L161" s="187">
        <f t="shared" si="61"/>
        <v>69947968.819999993</v>
      </c>
      <c r="M161" s="187">
        <f>ROUND(SUM(N161:T161),2)</f>
        <v>395252059.26999998</v>
      </c>
      <c r="N161" s="187">
        <f t="shared" ref="N161:T161" si="62">ROUND(SUMPRODUCT($D$10:$D$159,N10:N159),2)</f>
        <v>218962115.09999999</v>
      </c>
      <c r="O161" s="187">
        <f t="shared" si="62"/>
        <v>122262090.78</v>
      </c>
      <c r="P161" s="187">
        <f t="shared" si="62"/>
        <v>0</v>
      </c>
      <c r="Q161" s="187">
        <f t="shared" si="62"/>
        <v>14586951.390000001</v>
      </c>
      <c r="R161" s="187">
        <f t="shared" si="62"/>
        <v>29074089.59</v>
      </c>
      <c r="S161" s="187">
        <f t="shared" si="62"/>
        <v>10366812.41</v>
      </c>
      <c r="T161" s="187">
        <f t="shared" si="62"/>
        <v>0</v>
      </c>
      <c r="U161" s="187">
        <f>ROUND(SUM(V161:AB161),2)</f>
        <v>307418268.31</v>
      </c>
      <c r="V161" s="187">
        <f t="shared" ref="V161:AB161" si="63">ROUND(SUMPRODUCT($D$10:$D$159,V10:V159),2)</f>
        <v>170303867.30000001</v>
      </c>
      <c r="W161" s="187">
        <f t="shared" si="63"/>
        <v>95092737.269999996</v>
      </c>
      <c r="X161" s="187">
        <f t="shared" si="63"/>
        <v>0</v>
      </c>
      <c r="Y161" s="187">
        <f t="shared" si="63"/>
        <v>11345406.630000001</v>
      </c>
      <c r="Z161" s="187">
        <f t="shared" si="63"/>
        <v>22613180.789999999</v>
      </c>
      <c r="AA161" s="187">
        <f t="shared" si="63"/>
        <v>8063076.3200000003</v>
      </c>
      <c r="AB161" s="187">
        <f t="shared" si="63"/>
        <v>0</v>
      </c>
      <c r="AC161" s="187">
        <f>ROUND(SUM(AD161:AG161),2)</f>
        <v>0</v>
      </c>
      <c r="AD161" s="187">
        <f>ROUND(SUMPRODUCT($D$10:$D$159,AD10:AD159),2)</f>
        <v>0</v>
      </c>
      <c r="AE161" s="187">
        <f>ROUND(SUMPRODUCT($D$10:$D$159,AE10:AE159),2)</f>
        <v>0</v>
      </c>
      <c r="AF161" s="187">
        <f>ROUND(SUMPRODUCT($D$10:$D$159,AF10:AF159),2)</f>
        <v>0</v>
      </c>
      <c r="AG161" s="187">
        <f>ROUND(SUMPRODUCT($D$10:$D$159,AG10:AG159),2)</f>
        <v>0</v>
      </c>
      <c r="AH161" s="187">
        <f>ROUND(SUM(AI161:AM161),2)</f>
        <v>0</v>
      </c>
      <c r="AI161" s="187">
        <f t="shared" ref="AI161:AQ161" si="64">ROUND(SUMPRODUCT($D$10:$D$159,AI10:AI159),2)</f>
        <v>0</v>
      </c>
      <c r="AJ161" s="187">
        <f t="shared" si="64"/>
        <v>0</v>
      </c>
      <c r="AK161" s="187">
        <f t="shared" si="64"/>
        <v>0</v>
      </c>
      <c r="AL161" s="187">
        <f t="shared" si="64"/>
        <v>0</v>
      </c>
      <c r="AM161" s="187">
        <f t="shared" si="64"/>
        <v>0</v>
      </c>
      <c r="AN161" s="187">
        <f t="shared" si="64"/>
        <v>95606470.560000002</v>
      </c>
      <c r="AO161" s="187">
        <f>ROUND(SUMPRODUCT($D$10:$D$159,AO10:AO159),2)</f>
        <v>1331782974.22</v>
      </c>
      <c r="AP161" s="187">
        <f t="shared" si="64"/>
        <v>0</v>
      </c>
      <c r="AQ161" s="187">
        <f t="shared" si="64"/>
        <v>0</v>
      </c>
      <c r="AR161" s="187">
        <f>ROUND(F161+K161+L161+M161+U161+AC161+AH161+AN161+AO161+AP161+AQ161,2)</f>
        <v>2218918745.0700002</v>
      </c>
      <c r="AS161" s="187">
        <f>ROUND(SUM(AT161:AY161),2)</f>
        <v>1168358977.4000001</v>
      </c>
      <c r="AT161" s="187">
        <f t="shared" ref="AT161:AY161" si="65">ROUND(SUMPRODUCT($D$10:$D$159,AT10:AT159),2)</f>
        <v>716521944.55999994</v>
      </c>
      <c r="AU161" s="187">
        <f t="shared" si="65"/>
        <v>332231783.42000002</v>
      </c>
      <c r="AV161" s="187">
        <f t="shared" si="65"/>
        <v>4964351.5199999996</v>
      </c>
      <c r="AW161" s="187">
        <f t="shared" si="65"/>
        <v>60549386.850000001</v>
      </c>
      <c r="AX161" s="187">
        <f t="shared" si="65"/>
        <v>51532027.689999998</v>
      </c>
      <c r="AY161" s="187">
        <f t="shared" si="65"/>
        <v>2559483.36</v>
      </c>
      <c r="AZ161" s="187">
        <f>ROUND(SUM(BA161:BI161),2)</f>
        <v>1602637736.4000001</v>
      </c>
      <c r="BA161" s="187">
        <f t="shared" ref="BA161:BI161" si="66">ROUND(SUMPRODUCT($D$10:$D$159,BA10:BA159),2)</f>
        <v>698227416.73000002</v>
      </c>
      <c r="BB161" s="187">
        <f t="shared" si="66"/>
        <v>592116186.61000001</v>
      </c>
      <c r="BC161" s="187">
        <f t="shared" si="66"/>
        <v>0</v>
      </c>
      <c r="BD161" s="187">
        <f t="shared" si="66"/>
        <v>69925983.790000007</v>
      </c>
      <c r="BE161" s="187">
        <f t="shared" si="66"/>
        <v>112970110.20999999</v>
      </c>
      <c r="BF161" s="187">
        <f t="shared" si="66"/>
        <v>120201479.09</v>
      </c>
      <c r="BG161" s="187">
        <f t="shared" si="66"/>
        <v>0</v>
      </c>
      <c r="BH161" s="187">
        <f t="shared" si="66"/>
        <v>9196559.9700000007</v>
      </c>
      <c r="BI161" s="187">
        <f t="shared" si="66"/>
        <v>0</v>
      </c>
      <c r="BJ161" s="187">
        <f>ROUND(AS161+AZ161,2)</f>
        <v>2770996713.8000002</v>
      </c>
      <c r="BK161" s="187">
        <f>ROUND(AR161-BJ161,2)</f>
        <v>-552077968.73000002</v>
      </c>
      <c r="BL161" s="31">
        <f>ROUND(BO9,2)+BK161</f>
        <v>3.8999999761581421</v>
      </c>
      <c r="BM161" s="188"/>
      <c r="BN161" s="185"/>
      <c r="BO161" s="189"/>
      <c r="BP161" s="42"/>
      <c r="BQ161" s="42"/>
    </row>
  </sheetData>
  <sheetProtection algorithmName="SHA-512" hashValue="pbAbsCRszBGtHLm/V/NTY/TWoj6uNsDHyii1qEmCvjNUng7CenzRCvK5yy9NDqlfqP4kyy27UjCiU6YayiySKA==" saltValue="OV+sftuTXe7jBH7O3Nv74Q==" spinCount="100000" sheet="1" formatCells="0" formatColumns="0" formatRows="0" insertColumns="0" insertRows="0" insertHyperlinks="0" deleteColumns="0" deleteRows="0" sort="0" autoFilter="0" pivotTables="0"/>
  <mergeCells count="1">
    <mergeCell ref="A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WVN22"/>
  <sheetViews>
    <sheetView showGridLines="0" zoomScale="120" zoomScaleNormal="120" workbookViewId="0">
      <pane xSplit="6" ySplit="21" topLeftCell="G1048576" activePane="bottomRight" state="frozen"/>
      <selection pane="topRight" activeCell="G1" sqref="G1"/>
      <selection pane="bottomLeft" activeCell="A21" sqref="A21"/>
      <selection pane="bottomRight" activeCell="G7" sqref="G7"/>
    </sheetView>
  </sheetViews>
  <sheetFormatPr defaultColWidth="0" defaultRowHeight="12.75" zeroHeight="1" x14ac:dyDescent="0.2"/>
  <cols>
    <col min="1" max="1" width="60.7109375" style="90" customWidth="1"/>
    <col min="2" max="4" width="9.140625" style="90" customWidth="1"/>
    <col min="5" max="5" width="5" style="90" customWidth="1"/>
    <col min="6" max="6" width="34.5703125" style="90" customWidth="1"/>
    <col min="7" max="7" width="9.140625" style="90" customWidth="1"/>
    <col min="8" max="256" width="9.140625" style="90" hidden="1"/>
    <col min="257" max="257" width="60.7109375" style="90" hidden="1"/>
    <col min="258" max="260" width="9.140625" style="90" hidden="1"/>
    <col min="261" max="261" width="5" style="90" hidden="1"/>
    <col min="262" max="262" width="35.7109375" style="90" hidden="1"/>
    <col min="263" max="512" width="9.140625" style="90" hidden="1"/>
    <col min="513" max="513" width="60.7109375" style="90" hidden="1"/>
    <col min="514" max="516" width="9.140625" style="90" hidden="1"/>
    <col min="517" max="517" width="5" style="90" hidden="1"/>
    <col min="518" max="518" width="35.7109375" style="90" hidden="1"/>
    <col min="519" max="768" width="9.140625" style="90" hidden="1"/>
    <col min="769" max="769" width="60.7109375" style="90" hidden="1"/>
    <col min="770" max="772" width="9.140625" style="90" hidden="1"/>
    <col min="773" max="773" width="5" style="90" hidden="1"/>
    <col min="774" max="774" width="35.7109375" style="90" hidden="1"/>
    <col min="775" max="1024" width="9.140625" style="90" hidden="1"/>
    <col min="1025" max="1025" width="60.7109375" style="90" hidden="1"/>
    <col min="1026" max="1028" width="9.140625" style="90" hidden="1"/>
    <col min="1029" max="1029" width="5" style="90" hidden="1"/>
    <col min="1030" max="1030" width="35.7109375" style="90" hidden="1"/>
    <col min="1031" max="1280" width="9.140625" style="90" hidden="1"/>
    <col min="1281" max="1281" width="60.7109375" style="90" hidden="1"/>
    <col min="1282" max="1284" width="9.140625" style="90" hidden="1"/>
    <col min="1285" max="1285" width="5" style="90" hidden="1"/>
    <col min="1286" max="1286" width="35.7109375" style="90" hidden="1"/>
    <col min="1287" max="1536" width="9.140625" style="90" hidden="1"/>
    <col min="1537" max="1537" width="60.7109375" style="90" hidden="1"/>
    <col min="1538" max="1540" width="9.140625" style="90" hidden="1"/>
    <col min="1541" max="1541" width="5" style="90" hidden="1"/>
    <col min="1542" max="1542" width="35.7109375" style="90" hidden="1"/>
    <col min="1543" max="1792" width="9.140625" style="90" hidden="1"/>
    <col min="1793" max="1793" width="60.7109375" style="90" hidden="1"/>
    <col min="1794" max="1796" width="9.140625" style="90" hidden="1"/>
    <col min="1797" max="1797" width="5" style="90" hidden="1"/>
    <col min="1798" max="1798" width="35.7109375" style="90" hidden="1"/>
    <col min="1799" max="2048" width="9.140625" style="90" hidden="1"/>
    <col min="2049" max="2049" width="60.7109375" style="90" hidden="1"/>
    <col min="2050" max="2052" width="9.140625" style="90" hidden="1"/>
    <col min="2053" max="2053" width="5" style="90" hidden="1"/>
    <col min="2054" max="2054" width="35.7109375" style="90" hidden="1"/>
    <col min="2055" max="2304" width="9.140625" style="90" hidden="1"/>
    <col min="2305" max="2305" width="60.7109375" style="90" hidden="1"/>
    <col min="2306" max="2308" width="9.140625" style="90" hidden="1"/>
    <col min="2309" max="2309" width="5" style="90" hidden="1"/>
    <col min="2310" max="2310" width="35.7109375" style="90" hidden="1"/>
    <col min="2311" max="2560" width="9.140625" style="90" hidden="1"/>
    <col min="2561" max="2561" width="60.7109375" style="90" hidden="1"/>
    <col min="2562" max="2564" width="9.140625" style="90" hidden="1"/>
    <col min="2565" max="2565" width="5" style="90" hidden="1"/>
    <col min="2566" max="2566" width="35.7109375" style="90" hidden="1"/>
    <col min="2567" max="2816" width="9.140625" style="90" hidden="1"/>
    <col min="2817" max="2817" width="60.7109375" style="90" hidden="1"/>
    <col min="2818" max="2820" width="9.140625" style="90" hidden="1"/>
    <col min="2821" max="2821" width="5" style="90" hidden="1"/>
    <col min="2822" max="2822" width="35.7109375" style="90" hidden="1"/>
    <col min="2823" max="3072" width="9.140625" style="90" hidden="1"/>
    <col min="3073" max="3073" width="60.7109375" style="90" hidden="1"/>
    <col min="3074" max="3076" width="9.140625" style="90" hidden="1"/>
    <col min="3077" max="3077" width="5" style="90" hidden="1"/>
    <col min="3078" max="3078" width="35.7109375" style="90" hidden="1"/>
    <col min="3079" max="3328" width="9.140625" style="90" hidden="1"/>
    <col min="3329" max="3329" width="60.7109375" style="90" hidden="1"/>
    <col min="3330" max="3332" width="9.140625" style="90" hidden="1"/>
    <col min="3333" max="3333" width="5" style="90" hidden="1"/>
    <col min="3334" max="3334" width="35.7109375" style="90" hidden="1"/>
    <col min="3335" max="3584" width="9.140625" style="90" hidden="1"/>
    <col min="3585" max="3585" width="60.7109375" style="90" hidden="1"/>
    <col min="3586" max="3588" width="9.140625" style="90" hidden="1"/>
    <col min="3589" max="3589" width="5" style="90" hidden="1"/>
    <col min="3590" max="3590" width="35.7109375" style="90" hidden="1"/>
    <col min="3591" max="3840" width="9.140625" style="90" hidden="1"/>
    <col min="3841" max="3841" width="60.7109375" style="90" hidden="1"/>
    <col min="3842" max="3844" width="9.140625" style="90" hidden="1"/>
    <col min="3845" max="3845" width="5" style="90" hidden="1"/>
    <col min="3846" max="3846" width="35.7109375" style="90" hidden="1"/>
    <col min="3847" max="4096" width="9.140625" style="90" hidden="1"/>
    <col min="4097" max="4097" width="60.7109375" style="90" hidden="1"/>
    <col min="4098" max="4100" width="9.140625" style="90" hidden="1"/>
    <col min="4101" max="4101" width="5" style="90" hidden="1"/>
    <col min="4102" max="4102" width="35.7109375" style="90" hidden="1"/>
    <col min="4103" max="4352" width="9.140625" style="90" hidden="1"/>
    <col min="4353" max="4353" width="60.7109375" style="90" hidden="1"/>
    <col min="4354" max="4356" width="9.140625" style="90" hidden="1"/>
    <col min="4357" max="4357" width="5" style="90" hidden="1"/>
    <col min="4358" max="4358" width="35.7109375" style="90" hidden="1"/>
    <col min="4359" max="4608" width="9.140625" style="90" hidden="1"/>
    <col min="4609" max="4609" width="60.7109375" style="90" hidden="1"/>
    <col min="4610" max="4612" width="9.140625" style="90" hidden="1"/>
    <col min="4613" max="4613" width="5" style="90" hidden="1"/>
    <col min="4614" max="4614" width="35.7109375" style="90" hidden="1"/>
    <col min="4615" max="4864" width="9.140625" style="90" hidden="1"/>
    <col min="4865" max="4865" width="60.7109375" style="90" hidden="1"/>
    <col min="4866" max="4868" width="9.140625" style="90" hidden="1"/>
    <col min="4869" max="4869" width="5" style="90" hidden="1"/>
    <col min="4870" max="4870" width="35.7109375" style="90" hidden="1"/>
    <col min="4871" max="5120" width="9.140625" style="90" hidden="1"/>
    <col min="5121" max="5121" width="60.7109375" style="90" hidden="1"/>
    <col min="5122" max="5124" width="9.140625" style="90" hidden="1"/>
    <col min="5125" max="5125" width="5" style="90" hidden="1"/>
    <col min="5126" max="5126" width="35.7109375" style="90" hidden="1"/>
    <col min="5127" max="5376" width="9.140625" style="90" hidden="1"/>
    <col min="5377" max="5377" width="60.7109375" style="90" hidden="1"/>
    <col min="5378" max="5380" width="9.140625" style="90" hidden="1"/>
    <col min="5381" max="5381" width="5" style="90" hidden="1"/>
    <col min="5382" max="5382" width="35.7109375" style="90" hidden="1"/>
    <col min="5383" max="5632" width="9.140625" style="90" hidden="1"/>
    <col min="5633" max="5633" width="60.7109375" style="90" hidden="1"/>
    <col min="5634" max="5636" width="9.140625" style="90" hidden="1"/>
    <col min="5637" max="5637" width="5" style="90" hidden="1"/>
    <col min="5638" max="5638" width="35.7109375" style="90" hidden="1"/>
    <col min="5639" max="5888" width="9.140625" style="90" hidden="1"/>
    <col min="5889" max="5889" width="60.7109375" style="90" hidden="1"/>
    <col min="5890" max="5892" width="9.140625" style="90" hidden="1"/>
    <col min="5893" max="5893" width="5" style="90" hidden="1"/>
    <col min="5894" max="5894" width="35.7109375" style="90" hidden="1"/>
    <col min="5895" max="6144" width="9.140625" style="90" hidden="1"/>
    <col min="6145" max="6145" width="60.7109375" style="90" hidden="1"/>
    <col min="6146" max="6148" width="9.140625" style="90" hidden="1"/>
    <col min="6149" max="6149" width="5" style="90" hidden="1"/>
    <col min="6150" max="6150" width="35.7109375" style="90" hidden="1"/>
    <col min="6151" max="6400" width="9.140625" style="90" hidden="1"/>
    <col min="6401" max="6401" width="60.7109375" style="90" hidden="1"/>
    <col min="6402" max="6404" width="9.140625" style="90" hidden="1"/>
    <col min="6405" max="6405" width="5" style="90" hidden="1"/>
    <col min="6406" max="6406" width="35.7109375" style="90" hidden="1"/>
    <col min="6407" max="6656" width="9.140625" style="90" hidden="1"/>
    <col min="6657" max="6657" width="60.7109375" style="90" hidden="1"/>
    <col min="6658" max="6660" width="9.140625" style="90" hidden="1"/>
    <col min="6661" max="6661" width="5" style="90" hidden="1"/>
    <col min="6662" max="6662" width="35.7109375" style="90" hidden="1"/>
    <col min="6663" max="6912" width="9.140625" style="90" hidden="1"/>
    <col min="6913" max="6913" width="60.7109375" style="90" hidden="1"/>
    <col min="6914" max="6916" width="9.140625" style="90" hidden="1"/>
    <col min="6917" max="6917" width="5" style="90" hidden="1"/>
    <col min="6918" max="6918" width="35.7109375" style="90" hidden="1"/>
    <col min="6919" max="7168" width="9.140625" style="90" hidden="1"/>
    <col min="7169" max="7169" width="60.7109375" style="90" hidden="1"/>
    <col min="7170" max="7172" width="9.140625" style="90" hidden="1"/>
    <col min="7173" max="7173" width="5" style="90" hidden="1"/>
    <col min="7174" max="7174" width="35.7109375" style="90" hidden="1"/>
    <col min="7175" max="7424" width="9.140625" style="90" hidden="1"/>
    <col min="7425" max="7425" width="60.7109375" style="90" hidden="1"/>
    <col min="7426" max="7428" width="9.140625" style="90" hidden="1"/>
    <col min="7429" max="7429" width="5" style="90" hidden="1"/>
    <col min="7430" max="7430" width="35.7109375" style="90" hidden="1"/>
    <col min="7431" max="7680" width="9.140625" style="90" hidden="1"/>
    <col min="7681" max="7681" width="60.7109375" style="90" hidden="1"/>
    <col min="7682" max="7684" width="9.140625" style="90" hidden="1"/>
    <col min="7685" max="7685" width="5" style="90" hidden="1"/>
    <col min="7686" max="7686" width="35.7109375" style="90" hidden="1"/>
    <col min="7687" max="7936" width="9.140625" style="90" hidden="1"/>
    <col min="7937" max="7937" width="60.7109375" style="90" hidden="1"/>
    <col min="7938" max="7940" width="9.140625" style="90" hidden="1"/>
    <col min="7941" max="7941" width="5" style="90" hidden="1"/>
    <col min="7942" max="7942" width="35.7109375" style="90" hidden="1"/>
    <col min="7943" max="8192" width="9.140625" style="90" hidden="1"/>
    <col min="8193" max="8193" width="60.7109375" style="90" hidden="1"/>
    <col min="8194" max="8196" width="9.140625" style="90" hidden="1"/>
    <col min="8197" max="8197" width="5" style="90" hidden="1"/>
    <col min="8198" max="8198" width="35.7109375" style="90" hidden="1"/>
    <col min="8199" max="8448" width="9.140625" style="90" hidden="1"/>
    <col min="8449" max="8449" width="60.7109375" style="90" hidden="1"/>
    <col min="8450" max="8452" width="9.140625" style="90" hidden="1"/>
    <col min="8453" max="8453" width="5" style="90" hidden="1"/>
    <col min="8454" max="8454" width="35.7109375" style="90" hidden="1"/>
    <col min="8455" max="8704" width="9.140625" style="90" hidden="1"/>
    <col min="8705" max="8705" width="60.7109375" style="90" hidden="1"/>
    <col min="8706" max="8708" width="9.140625" style="90" hidden="1"/>
    <col min="8709" max="8709" width="5" style="90" hidden="1"/>
    <col min="8710" max="8710" width="35.7109375" style="90" hidden="1"/>
    <col min="8711" max="8960" width="9.140625" style="90" hidden="1"/>
    <col min="8961" max="8961" width="60.7109375" style="90" hidden="1"/>
    <col min="8962" max="8964" width="9.140625" style="90" hidden="1"/>
    <col min="8965" max="8965" width="5" style="90" hidden="1"/>
    <col min="8966" max="8966" width="35.7109375" style="90" hidden="1"/>
    <col min="8967" max="9216" width="9.140625" style="90" hidden="1"/>
    <col min="9217" max="9217" width="60.7109375" style="90" hidden="1"/>
    <col min="9218" max="9220" width="9.140625" style="90" hidden="1"/>
    <col min="9221" max="9221" width="5" style="90" hidden="1"/>
    <col min="9222" max="9222" width="35.7109375" style="90" hidden="1"/>
    <col min="9223" max="9472" width="9.140625" style="90" hidden="1"/>
    <col min="9473" max="9473" width="60.7109375" style="90" hidden="1"/>
    <col min="9474" max="9476" width="9.140625" style="90" hidden="1"/>
    <col min="9477" max="9477" width="5" style="90" hidden="1"/>
    <col min="9478" max="9478" width="35.7109375" style="90" hidden="1"/>
    <col min="9479" max="9728" width="9.140625" style="90" hidden="1"/>
    <col min="9729" max="9729" width="60.7109375" style="90" hidden="1"/>
    <col min="9730" max="9732" width="9.140625" style="90" hidden="1"/>
    <col min="9733" max="9733" width="5" style="90" hidden="1"/>
    <col min="9734" max="9734" width="35.7109375" style="90" hidden="1"/>
    <col min="9735" max="9984" width="9.140625" style="90" hidden="1"/>
    <col min="9985" max="9985" width="60.7109375" style="90" hidden="1"/>
    <col min="9986" max="9988" width="9.140625" style="90" hidden="1"/>
    <col min="9989" max="9989" width="5" style="90" hidden="1"/>
    <col min="9990" max="9990" width="35.7109375" style="90" hidden="1"/>
    <col min="9991" max="10240" width="9.140625" style="90" hidden="1"/>
    <col min="10241" max="10241" width="60.7109375" style="90" hidden="1"/>
    <col min="10242" max="10244" width="9.140625" style="90" hidden="1"/>
    <col min="10245" max="10245" width="5" style="90" hidden="1"/>
    <col min="10246" max="10246" width="35.7109375" style="90" hidden="1"/>
    <col min="10247" max="10496" width="9.140625" style="90" hidden="1"/>
    <col min="10497" max="10497" width="60.7109375" style="90" hidden="1"/>
    <col min="10498" max="10500" width="9.140625" style="90" hidden="1"/>
    <col min="10501" max="10501" width="5" style="90" hidden="1"/>
    <col min="10502" max="10502" width="35.7109375" style="90" hidden="1"/>
    <col min="10503" max="10752" width="9.140625" style="90" hidden="1"/>
    <col min="10753" max="10753" width="60.7109375" style="90" hidden="1"/>
    <col min="10754" max="10756" width="9.140625" style="90" hidden="1"/>
    <col min="10757" max="10757" width="5" style="90" hidden="1"/>
    <col min="10758" max="10758" width="35.7109375" style="90" hidden="1"/>
    <col min="10759" max="11008" width="9.140625" style="90" hidden="1"/>
    <col min="11009" max="11009" width="60.7109375" style="90" hidden="1"/>
    <col min="11010" max="11012" width="9.140625" style="90" hidden="1"/>
    <col min="11013" max="11013" width="5" style="90" hidden="1"/>
    <col min="11014" max="11014" width="35.7109375" style="90" hidden="1"/>
    <col min="11015" max="11264" width="9.140625" style="90" hidden="1"/>
    <col min="11265" max="11265" width="60.7109375" style="90" hidden="1"/>
    <col min="11266" max="11268" width="9.140625" style="90" hidden="1"/>
    <col min="11269" max="11269" width="5" style="90" hidden="1"/>
    <col min="11270" max="11270" width="35.7109375" style="90" hidden="1"/>
    <col min="11271" max="11520" width="9.140625" style="90" hidden="1"/>
    <col min="11521" max="11521" width="60.7109375" style="90" hidden="1"/>
    <col min="11522" max="11524" width="9.140625" style="90" hidden="1"/>
    <col min="11525" max="11525" width="5" style="90" hidden="1"/>
    <col min="11526" max="11526" width="35.7109375" style="90" hidden="1"/>
    <col min="11527" max="11776" width="9.140625" style="90" hidden="1"/>
    <col min="11777" max="11777" width="60.7109375" style="90" hidden="1"/>
    <col min="11778" max="11780" width="9.140625" style="90" hidden="1"/>
    <col min="11781" max="11781" width="5" style="90" hidden="1"/>
    <col min="11782" max="11782" width="35.7109375" style="90" hidden="1"/>
    <col min="11783" max="12032" width="9.140625" style="90" hidden="1"/>
    <col min="12033" max="12033" width="60.7109375" style="90" hidden="1"/>
    <col min="12034" max="12036" width="9.140625" style="90" hidden="1"/>
    <col min="12037" max="12037" width="5" style="90" hidden="1"/>
    <col min="12038" max="12038" width="35.7109375" style="90" hidden="1"/>
    <col min="12039" max="12288" width="9.140625" style="90" hidden="1"/>
    <col min="12289" max="12289" width="60.7109375" style="90" hidden="1"/>
    <col min="12290" max="12292" width="9.140625" style="90" hidden="1"/>
    <col min="12293" max="12293" width="5" style="90" hidden="1"/>
    <col min="12294" max="12294" width="35.7109375" style="90" hidden="1"/>
    <col min="12295" max="12544" width="9.140625" style="90" hidden="1"/>
    <col min="12545" max="12545" width="60.7109375" style="90" hidden="1"/>
    <col min="12546" max="12548" width="9.140625" style="90" hidden="1"/>
    <col min="12549" max="12549" width="5" style="90" hidden="1"/>
    <col min="12550" max="12550" width="35.7109375" style="90" hidden="1"/>
    <col min="12551" max="12800" width="9.140625" style="90" hidden="1"/>
    <col min="12801" max="12801" width="60.7109375" style="90" hidden="1"/>
    <col min="12802" max="12804" width="9.140625" style="90" hidden="1"/>
    <col min="12805" max="12805" width="5" style="90" hidden="1"/>
    <col min="12806" max="12806" width="35.7109375" style="90" hidden="1"/>
    <col min="12807" max="13056" width="9.140625" style="90" hidden="1"/>
    <col min="13057" max="13057" width="60.7109375" style="90" hidden="1"/>
    <col min="13058" max="13060" width="9.140625" style="90" hidden="1"/>
    <col min="13061" max="13061" width="5" style="90" hidden="1"/>
    <col min="13062" max="13062" width="35.7109375" style="90" hidden="1"/>
    <col min="13063" max="13312" width="9.140625" style="90" hidden="1"/>
    <col min="13313" max="13313" width="60.7109375" style="90" hidden="1"/>
    <col min="13314" max="13316" width="9.140625" style="90" hidden="1"/>
    <col min="13317" max="13317" width="5" style="90" hidden="1"/>
    <col min="13318" max="13318" width="35.7109375" style="90" hidden="1"/>
    <col min="13319" max="13568" width="9.140625" style="90" hidden="1"/>
    <col min="13569" max="13569" width="60.7109375" style="90" hidden="1"/>
    <col min="13570" max="13572" width="9.140625" style="90" hidden="1"/>
    <col min="13573" max="13573" width="5" style="90" hidden="1"/>
    <col min="13574" max="13574" width="35.7109375" style="90" hidden="1"/>
    <col min="13575" max="13824" width="9.140625" style="90" hidden="1"/>
    <col min="13825" max="13825" width="60.7109375" style="90" hidden="1"/>
    <col min="13826" max="13828" width="9.140625" style="90" hidden="1"/>
    <col min="13829" max="13829" width="5" style="90" hidden="1"/>
    <col min="13830" max="13830" width="35.7109375" style="90" hidden="1"/>
    <col min="13831" max="14080" width="9.140625" style="90" hidden="1"/>
    <col min="14081" max="14081" width="60.7109375" style="90" hidden="1"/>
    <col min="14082" max="14084" width="9.140625" style="90" hidden="1"/>
    <col min="14085" max="14085" width="5" style="90" hidden="1"/>
    <col min="14086" max="14086" width="35.7109375" style="90" hidden="1"/>
    <col min="14087" max="14336" width="9.140625" style="90" hidden="1"/>
    <col min="14337" max="14337" width="60.7109375" style="90" hidden="1"/>
    <col min="14338" max="14340" width="9.140625" style="90" hidden="1"/>
    <col min="14341" max="14341" width="5" style="90" hidden="1"/>
    <col min="14342" max="14342" width="35.7109375" style="90" hidden="1"/>
    <col min="14343" max="14592" width="9.140625" style="90" hidden="1"/>
    <col min="14593" max="14593" width="60.7109375" style="90" hidden="1"/>
    <col min="14594" max="14596" width="9.140625" style="90" hidden="1"/>
    <col min="14597" max="14597" width="5" style="90" hidden="1"/>
    <col min="14598" max="14598" width="35.7109375" style="90" hidden="1"/>
    <col min="14599" max="14848" width="9.140625" style="90" hidden="1"/>
    <col min="14849" max="14849" width="60.7109375" style="90" hidden="1"/>
    <col min="14850" max="14852" width="9.140625" style="90" hidden="1"/>
    <col min="14853" max="14853" width="5" style="90" hidden="1"/>
    <col min="14854" max="14854" width="35.7109375" style="90" hidden="1"/>
    <col min="14855" max="15104" width="9.140625" style="90" hidden="1"/>
    <col min="15105" max="15105" width="60.7109375" style="90" hidden="1"/>
    <col min="15106" max="15108" width="9.140625" style="90" hidden="1"/>
    <col min="15109" max="15109" width="5" style="90" hidden="1"/>
    <col min="15110" max="15110" width="35.7109375" style="90" hidden="1"/>
    <col min="15111" max="15360" width="9.140625" style="90" hidden="1"/>
    <col min="15361" max="15361" width="60.7109375" style="90" hidden="1"/>
    <col min="15362" max="15364" width="9.140625" style="90" hidden="1"/>
    <col min="15365" max="15365" width="5" style="90" hidden="1"/>
    <col min="15366" max="15366" width="35.7109375" style="90" hidden="1"/>
    <col min="15367" max="15616" width="9.140625" style="90" hidden="1"/>
    <col min="15617" max="15617" width="60.7109375" style="90" hidden="1"/>
    <col min="15618" max="15620" width="9.140625" style="90" hidden="1"/>
    <col min="15621" max="15621" width="5" style="90" hidden="1"/>
    <col min="15622" max="15622" width="35.7109375" style="90" hidden="1"/>
    <col min="15623" max="15872" width="9.140625" style="90" hidden="1"/>
    <col min="15873" max="15873" width="60.7109375" style="90" hidden="1"/>
    <col min="15874" max="15876" width="9.140625" style="90" hidden="1"/>
    <col min="15877" max="15877" width="5" style="90" hidden="1"/>
    <col min="15878" max="15878" width="35.7109375" style="90" hidden="1"/>
    <col min="15879" max="16128" width="9.140625" style="90" hidden="1"/>
    <col min="16129" max="16129" width="60.7109375" style="90" hidden="1"/>
    <col min="16130" max="16132" width="9.140625" style="90" hidden="1"/>
    <col min="16133" max="16133" width="5" style="90" hidden="1"/>
    <col min="16134" max="16134" width="35.7109375" style="90" hidden="1"/>
    <col min="16135" max="16384" width="9.140625" style="90" hidden="1"/>
  </cols>
  <sheetData>
    <row r="1" spans="1:6" ht="13.5" x14ac:dyDescent="0.25">
      <c r="A1" s="216" t="s">
        <v>83</v>
      </c>
      <c r="B1" s="216"/>
      <c r="C1" s="216"/>
      <c r="D1" s="216"/>
      <c r="E1" s="217"/>
      <c r="F1" s="139" t="s">
        <v>84</v>
      </c>
    </row>
    <row r="2" spans="1:6" ht="13.5" x14ac:dyDescent="0.25">
      <c r="A2" s="218"/>
      <c r="B2" s="218"/>
      <c r="C2" s="218"/>
      <c r="D2" s="218"/>
      <c r="E2" s="219"/>
      <c r="F2" s="140" t="s">
        <v>85</v>
      </c>
    </row>
    <row r="3" spans="1:6" ht="13.5" x14ac:dyDescent="0.25">
      <c r="A3" s="91" t="s">
        <v>86</v>
      </c>
      <c r="B3" s="91"/>
      <c r="C3" s="91"/>
      <c r="D3" s="91"/>
      <c r="E3" s="91"/>
      <c r="F3" s="94">
        <f>SUM(F4:F6)</f>
        <v>494427845.97000003</v>
      </c>
    </row>
    <row r="4" spans="1:6" ht="13.5" x14ac:dyDescent="0.25">
      <c r="A4" s="92" t="s">
        <v>87</v>
      </c>
      <c r="B4" s="93"/>
      <c r="C4" s="93"/>
      <c r="D4" s="93"/>
      <c r="E4" s="93"/>
      <c r="F4" s="195">
        <v>374277557.87</v>
      </c>
    </row>
    <row r="5" spans="1:6" ht="13.5" x14ac:dyDescent="0.25">
      <c r="A5" s="95" t="s">
        <v>88</v>
      </c>
      <c r="B5" s="93"/>
      <c r="C5" s="93"/>
      <c r="D5" s="93"/>
      <c r="E5" s="93"/>
      <c r="F5" s="195">
        <v>101071037.48999999</v>
      </c>
    </row>
    <row r="6" spans="1:6" ht="13.5" x14ac:dyDescent="0.25">
      <c r="A6" s="95" t="s">
        <v>89</v>
      </c>
      <c r="B6" s="93"/>
      <c r="C6" s="93"/>
      <c r="D6" s="93"/>
      <c r="E6" s="93"/>
      <c r="F6" s="195">
        <v>19079250.610000003</v>
      </c>
    </row>
    <row r="7" spans="1:6" ht="13.5" x14ac:dyDescent="0.25">
      <c r="A7" s="93" t="s">
        <v>90</v>
      </c>
      <c r="B7" s="93"/>
      <c r="C7" s="93"/>
      <c r="D7" s="93"/>
      <c r="E7" s="93"/>
      <c r="F7" s="94">
        <f>SUM(F8:F12)</f>
        <v>111752276.19999999</v>
      </c>
    </row>
    <row r="8" spans="1:6" ht="13.5" x14ac:dyDescent="0.25">
      <c r="A8" s="96" t="s">
        <v>91</v>
      </c>
      <c r="B8" s="93"/>
      <c r="C8" s="93"/>
      <c r="D8" s="93"/>
      <c r="E8" s="93"/>
      <c r="F8" s="195">
        <v>4991982.03</v>
      </c>
    </row>
    <row r="9" spans="1:6" ht="13.5" x14ac:dyDescent="0.25">
      <c r="A9" s="96" t="s">
        <v>92</v>
      </c>
      <c r="B9" s="93"/>
      <c r="C9" s="93"/>
      <c r="D9" s="93"/>
      <c r="E9" s="93"/>
      <c r="F9" s="195">
        <v>0</v>
      </c>
    </row>
    <row r="10" spans="1:6" ht="13.5" x14ac:dyDescent="0.25">
      <c r="A10" s="96" t="s">
        <v>93</v>
      </c>
      <c r="B10" s="93"/>
      <c r="C10" s="93"/>
      <c r="D10" s="93"/>
      <c r="E10" s="93"/>
      <c r="F10" s="195">
        <v>0</v>
      </c>
    </row>
    <row r="11" spans="1:6" ht="13.5" x14ac:dyDescent="0.25">
      <c r="A11" s="97" t="s">
        <v>94</v>
      </c>
      <c r="B11" s="98"/>
      <c r="C11" s="98"/>
      <c r="D11" s="98"/>
      <c r="E11" s="98"/>
      <c r="F11" s="196">
        <v>101071037.48999999</v>
      </c>
    </row>
    <row r="12" spans="1:6" ht="23.45" customHeight="1" x14ac:dyDescent="0.25">
      <c r="A12" s="222" t="s">
        <v>137</v>
      </c>
      <c r="B12" s="222"/>
      <c r="C12" s="222"/>
      <c r="D12" s="222"/>
      <c r="E12" s="223"/>
      <c r="F12" s="196">
        <v>5689256.6799999997</v>
      </c>
    </row>
    <row r="13" spans="1:6" ht="13.5" x14ac:dyDescent="0.25">
      <c r="A13" s="91" t="s">
        <v>95</v>
      </c>
      <c r="B13" s="98"/>
      <c r="C13" s="98"/>
      <c r="D13" s="98"/>
      <c r="E13" s="98"/>
      <c r="F13" s="99">
        <f>F3-F7</f>
        <v>382675569.77000004</v>
      </c>
    </row>
    <row r="14" spans="1:6" ht="13.5" x14ac:dyDescent="0.25">
      <c r="A14" s="100" t="s">
        <v>96</v>
      </c>
      <c r="B14" s="100"/>
      <c r="C14" s="100"/>
      <c r="D14" s="100"/>
      <c r="E14" s="100"/>
      <c r="F14" s="137">
        <f>F13</f>
        <v>382675569.77000004</v>
      </c>
    </row>
    <row r="15" spans="1:6" ht="13.5" x14ac:dyDescent="0.25">
      <c r="A15" s="93"/>
      <c r="B15" s="93"/>
      <c r="C15" s="93"/>
      <c r="D15" s="93"/>
      <c r="E15" s="93"/>
      <c r="F15" s="93"/>
    </row>
    <row r="16" spans="1:6" ht="13.5" x14ac:dyDescent="0.25">
      <c r="A16" s="220" t="s">
        <v>97</v>
      </c>
      <c r="B16" s="220"/>
      <c r="C16" s="220"/>
      <c r="D16" s="220"/>
      <c r="E16" s="220"/>
      <c r="F16" s="136" t="s">
        <v>98</v>
      </c>
    </row>
    <row r="17" spans="1:6" ht="13.5" x14ac:dyDescent="0.25">
      <c r="A17" s="93" t="s">
        <v>99</v>
      </c>
      <c r="B17" s="93"/>
      <c r="C17" s="93"/>
      <c r="D17" s="93"/>
      <c r="E17" s="93"/>
      <c r="F17" s="197">
        <v>804758849.48000002</v>
      </c>
    </row>
    <row r="18" spans="1:6" ht="13.5" x14ac:dyDescent="0.25">
      <c r="A18" s="100" t="s">
        <v>100</v>
      </c>
      <c r="B18" s="100"/>
      <c r="C18" s="100"/>
      <c r="D18" s="100"/>
      <c r="E18" s="100"/>
      <c r="F18" s="209">
        <f>F14/F17</f>
        <v>0.47551582690549876</v>
      </c>
    </row>
    <row r="19" spans="1:6" ht="13.5" x14ac:dyDescent="0.25">
      <c r="A19" s="221" t="s">
        <v>101</v>
      </c>
      <c r="B19" s="221"/>
      <c r="C19" s="221"/>
      <c r="D19" s="221"/>
      <c r="E19" s="221"/>
      <c r="F19" s="210">
        <v>0.6</v>
      </c>
    </row>
    <row r="20" spans="1:6" ht="13.5" x14ac:dyDescent="0.25">
      <c r="A20" s="93" t="s">
        <v>102</v>
      </c>
      <c r="B20" s="93"/>
      <c r="C20" s="93"/>
      <c r="D20" s="93"/>
      <c r="E20" s="93"/>
      <c r="F20" s="211">
        <f>F19*0.95</f>
        <v>0.56999999999999995</v>
      </c>
    </row>
    <row r="21" spans="1:6" ht="13.5" x14ac:dyDescent="0.25">
      <c r="A21" s="93" t="s">
        <v>103</v>
      </c>
      <c r="B21" s="93"/>
      <c r="C21" s="93"/>
      <c r="D21" s="93"/>
      <c r="E21" s="93"/>
      <c r="F21" s="211">
        <f>F19*0.9</f>
        <v>0.54</v>
      </c>
    </row>
    <row r="22" spans="1:6" x14ac:dyDescent="0.2"/>
  </sheetData>
  <mergeCells count="4">
    <mergeCell ref="A1:E2"/>
    <mergeCell ref="A16:E16"/>
    <mergeCell ref="A19:E19"/>
    <mergeCell ref="A12:E1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Q67"/>
  <sheetViews>
    <sheetView showGridLines="0" zoomScale="80" zoomScaleNormal="80" zoomScaleSheetLayoutView="85" workbookViewId="0">
      <pane xSplit="10" ySplit="28" topLeftCell="K30" activePane="bottomRight" state="frozen"/>
      <selection pane="topRight" activeCell="K1" sqref="K1"/>
      <selection pane="bottomLeft" activeCell="A29" sqref="A29"/>
      <selection pane="bottomRight" activeCell="C12" sqref="C12"/>
    </sheetView>
  </sheetViews>
  <sheetFormatPr defaultColWidth="0" defaultRowHeight="12.75" zeroHeight="1" x14ac:dyDescent="0.2"/>
  <cols>
    <col min="1" max="1" width="56" style="53" customWidth="1"/>
    <col min="2" max="2" width="14" style="53" bestFit="1" customWidth="1"/>
    <col min="3" max="3" width="17.5703125" style="53" customWidth="1"/>
    <col min="4" max="4" width="12.85546875" style="53" customWidth="1"/>
    <col min="5" max="5" width="3.28515625" style="53" customWidth="1"/>
    <col min="6" max="6" width="18.85546875" style="53" customWidth="1"/>
    <col min="7" max="7" width="15.140625" style="53" customWidth="1"/>
    <col min="8" max="10" width="18.85546875" style="53" customWidth="1"/>
    <col min="11" max="11" width="12.5703125" style="53" bestFit="1" customWidth="1"/>
    <col min="12" max="17" width="17.42578125" style="53" hidden="1" customWidth="1"/>
    <col min="18" max="16384" width="41.42578125" style="53" hidden="1"/>
  </cols>
  <sheetData>
    <row r="1" spans="1:8" ht="18" x14ac:dyDescent="0.2">
      <c r="A1" s="69" t="s">
        <v>133</v>
      </c>
      <c r="B1" s="54"/>
      <c r="C1" s="54"/>
      <c r="D1" s="54"/>
      <c r="E1" s="54"/>
    </row>
    <row r="2" spans="1:8" x14ac:dyDescent="0.2"/>
    <row r="3" spans="1:8" s="54" customFormat="1" ht="13.5" thickBot="1" x14ac:dyDescent="0.25">
      <c r="A3" s="67" t="s">
        <v>118</v>
      </c>
      <c r="C3" s="54" t="s">
        <v>138</v>
      </c>
      <c r="D3" s="53"/>
      <c r="E3" s="53"/>
      <c r="F3"/>
      <c r="G3"/>
      <c r="H3"/>
    </row>
    <row r="4" spans="1:8" x14ac:dyDescent="0.2">
      <c r="A4" s="55" t="s">
        <v>104</v>
      </c>
      <c r="B4" s="55"/>
      <c r="C4" s="56">
        <v>2024</v>
      </c>
      <c r="F4"/>
      <c r="G4"/>
      <c r="H4"/>
    </row>
    <row r="5" spans="1:8" x14ac:dyDescent="0.2">
      <c r="A5" s="57" t="s">
        <v>105</v>
      </c>
      <c r="B5" s="57"/>
      <c r="C5" s="198">
        <v>45291</v>
      </c>
      <c r="F5"/>
      <c r="G5"/>
      <c r="H5"/>
    </row>
    <row r="6" spans="1:8" x14ac:dyDescent="0.2">
      <c r="A6" s="58" t="s">
        <v>106</v>
      </c>
      <c r="B6" s="58"/>
      <c r="C6" s="199">
        <v>45350</v>
      </c>
      <c r="F6"/>
      <c r="G6"/>
      <c r="H6"/>
    </row>
    <row r="7" spans="1:8" ht="13.5" thickBot="1" x14ac:dyDescent="0.25">
      <c r="F7"/>
      <c r="G7"/>
      <c r="H7"/>
    </row>
    <row r="8" spans="1:8" x14ac:dyDescent="0.2">
      <c r="A8" s="68"/>
      <c r="B8" s="59" t="s">
        <v>107</v>
      </c>
      <c r="C8" s="60" t="s">
        <v>108</v>
      </c>
      <c r="F8"/>
      <c r="G8"/>
      <c r="H8"/>
    </row>
    <row r="9" spans="1:8" x14ac:dyDescent="0.2">
      <c r="A9" s="145" t="str">
        <f>CONCATENATE("Contribuições do Ente + Parcelamentos (Ano: ",A28,")")</f>
        <v>Contribuições do Ente + Parcelamentos (Ano: 2023)</v>
      </c>
      <c r="B9" s="71"/>
      <c r="C9" s="200">
        <v>88460224.269999996</v>
      </c>
    </row>
    <row r="10" spans="1:8" x14ac:dyDescent="0.2">
      <c r="A10" s="145" t="str">
        <f>CONCATENATE("Despesas do RPPS- Benefícios e Administrativas (Ano: ",A28,")")</f>
        <v>Despesas do RPPS- Benefícios e Administrativas (Ano: 2023)</v>
      </c>
      <c r="B10" s="71"/>
      <c r="C10" s="200">
        <v>101482550.70999999</v>
      </c>
    </row>
    <row r="11" spans="1:8" x14ac:dyDescent="0.2">
      <c r="A11" s="145" t="s">
        <v>109</v>
      </c>
      <c r="B11" s="61">
        <f>C28</f>
        <v>382675569.76999998</v>
      </c>
      <c r="C11" s="72"/>
    </row>
    <row r="12" spans="1:8" x14ac:dyDescent="0.2">
      <c r="A12" s="145" t="s">
        <v>110</v>
      </c>
      <c r="B12" s="71"/>
      <c r="C12" s="200">
        <v>178912280.96000001</v>
      </c>
    </row>
    <row r="13" spans="1:8" ht="13.5" thickBot="1" x14ac:dyDescent="0.25">
      <c r="A13" s="145" t="s">
        <v>111</v>
      </c>
      <c r="B13" s="71">
        <f>'Fluxo e Duração do Passivo'!BL161</f>
        <v>3.8999999761581421</v>
      </c>
      <c r="C13" s="73">
        <v>-1331762972.0999999</v>
      </c>
    </row>
    <row r="14" spans="1:8" ht="13.5" thickBot="1" x14ac:dyDescent="0.25">
      <c r="A14" s="145" t="str">
        <f>CONCATENATE("Variação Média - ",B17)</f>
        <v>Variação Média - RECEITA CORRENTE LÍQUIDA - RCL</v>
      </c>
      <c r="B14" s="75">
        <f>AVERAGE(I18:I28)</f>
        <v>7.7281527714388593E-2</v>
      </c>
      <c r="C14" s="73"/>
    </row>
    <row r="15" spans="1:8" ht="13.5" thickBot="1" x14ac:dyDescent="0.25">
      <c r="A15" s="146" t="str">
        <f>CONCATENATE("Variação Média - ",C17)</f>
        <v>Variação Média - DESPESA LÍQUIDA COM PESSOAL</v>
      </c>
      <c r="B15" s="88">
        <f>AVERAGE(J18:J28)</f>
        <v>3.2204998269774701E-2</v>
      </c>
      <c r="C15" s="73"/>
    </row>
    <row r="16" spans="1:8" ht="13.5" thickBot="1" x14ac:dyDescent="0.25"/>
    <row r="17" spans="1:14" s="62" customFormat="1" ht="38.25" x14ac:dyDescent="0.2">
      <c r="A17" s="76" t="s">
        <v>112</v>
      </c>
      <c r="B17" s="77" t="s">
        <v>113</v>
      </c>
      <c r="C17" s="78" t="s">
        <v>114</v>
      </c>
      <c r="D17" s="79" t="s">
        <v>115</v>
      </c>
      <c r="E17" s="54"/>
      <c r="F17" s="80" t="s">
        <v>116</v>
      </c>
      <c r="G17" s="81" t="str">
        <f>CONCATENATE(B17," (em base de ",A28,")")</f>
        <v>RECEITA CORRENTE LÍQUIDA - RCL (em base de 2023)</v>
      </c>
      <c r="H17" s="82" t="str">
        <f>CONCATENATE(B17," (em base de ",A28,")")</f>
        <v>RECEITA CORRENTE LÍQUIDA - RCL (em base de 2023)</v>
      </c>
      <c r="I17" s="81" t="str">
        <f>CONCATENATE("Variação real da ",B17)</f>
        <v>Variação real da RECEITA CORRENTE LÍQUIDA - RCL</v>
      </c>
      <c r="J17" s="83" t="str">
        <f>CONCATENATE("Variação real da ",C17)</f>
        <v>Variação real da DESPESA LÍQUIDA COM PESSOAL</v>
      </c>
      <c r="M17"/>
      <c r="N17" s="138"/>
    </row>
    <row r="18" spans="1:14" ht="12.75" customHeight="1" x14ac:dyDescent="0.2">
      <c r="A18" s="63">
        <f t="shared" ref="A18:A27" si="0">A19-1</f>
        <v>2013</v>
      </c>
      <c r="B18" s="201">
        <v>216760380.38999999</v>
      </c>
      <c r="C18" s="201">
        <v>159446781.84</v>
      </c>
      <c r="D18" s="202">
        <v>5.91E-2</v>
      </c>
      <c r="E18" s="70"/>
      <c r="F18" s="84">
        <f>IF(D18="","",((1+F19)*(1+D18))-1)</f>
        <v>0.88048715967354152</v>
      </c>
      <c r="G18" s="74">
        <f t="shared" ref="G18:G27" si="1">IFERROR((1+$F19)*B18,"")</f>
        <v>384869334.38707161</v>
      </c>
      <c r="H18" s="74">
        <f t="shared" ref="H18:H26" si="2">IFERROR((1+$F19)*C18,"")</f>
        <v>283106057.88064247</v>
      </c>
      <c r="I18" s="75" t="str">
        <f t="shared" ref="I18:J28" si="3">IFERROR(G18/G17-1,"")</f>
        <v/>
      </c>
      <c r="J18" s="85" t="str">
        <f t="shared" si="3"/>
        <v/>
      </c>
      <c r="L18" s="224"/>
      <c r="M18" s="224"/>
      <c r="N18" s="138"/>
    </row>
    <row r="19" spans="1:14" ht="12.75" customHeight="1" x14ac:dyDescent="0.2">
      <c r="A19" s="63">
        <f t="shared" si="0"/>
        <v>2014</v>
      </c>
      <c r="B19" s="201">
        <v>243394540.53</v>
      </c>
      <c r="C19" s="201">
        <v>169624236</v>
      </c>
      <c r="D19" s="202">
        <v>6.4100000000000004E-2</v>
      </c>
      <c r="E19" s="70"/>
      <c r="F19" s="84">
        <f>IF(D19="","",((1+F20)*(1+D19))-1)</f>
        <v>0.77555203443824161</v>
      </c>
      <c r="G19" s="74">
        <f t="shared" si="1"/>
        <v>406126935.07114232</v>
      </c>
      <c r="H19" s="74">
        <f t="shared" si="2"/>
        <v>283034167.20217311</v>
      </c>
      <c r="I19" s="75">
        <f t="shared" si="3"/>
        <v>5.5233292925051414E-2</v>
      </c>
      <c r="J19" s="85">
        <f t="shared" si="3"/>
        <v>-2.539355003828847E-4</v>
      </c>
      <c r="L19" s="224"/>
      <c r="M19" s="224"/>
      <c r="N19" s="138"/>
    </row>
    <row r="20" spans="1:14" ht="12.75" customHeight="1" x14ac:dyDescent="0.2">
      <c r="A20" s="63">
        <f t="shared" si="0"/>
        <v>2015</v>
      </c>
      <c r="B20" s="201">
        <v>269809267.12</v>
      </c>
      <c r="C20" s="201">
        <v>180451314.88999999</v>
      </c>
      <c r="D20" s="202">
        <v>0.1067</v>
      </c>
      <c r="E20" s="70"/>
      <c r="F20" s="84">
        <f t="shared" ref="F20:F27" si="4">IF(D20="","",((1+F21)*(1+D20))-1)</f>
        <v>0.66859508921928534</v>
      </c>
      <c r="G20" s="74">
        <f t="shared" si="1"/>
        <v>406797161.05745584</v>
      </c>
      <c r="H20" s="74">
        <f t="shared" si="2"/>
        <v>272070279.08974147</v>
      </c>
      <c r="I20" s="75">
        <f t="shared" si="3"/>
        <v>1.6502869631045414E-3</v>
      </c>
      <c r="J20" s="85">
        <f t="shared" si="3"/>
        <v>-3.8736977308467702E-2</v>
      </c>
      <c r="L20" s="224"/>
      <c r="M20" s="224"/>
      <c r="N20" s="138"/>
    </row>
    <row r="21" spans="1:14" ht="12.75" customHeight="1" x14ac:dyDescent="0.2">
      <c r="A21" s="63">
        <f t="shared" si="0"/>
        <v>2016</v>
      </c>
      <c r="B21" s="201">
        <v>304031008.62</v>
      </c>
      <c r="C21" s="201">
        <v>191969483.93000001</v>
      </c>
      <c r="D21" s="202">
        <v>6.2899999999999998E-2</v>
      </c>
      <c r="E21" s="70"/>
      <c r="F21" s="84">
        <f t="shared" si="4"/>
        <v>0.50772123359472787</v>
      </c>
      <c r="G21" s="74">
        <f t="shared" si="1"/>
        <v>431267294.54096884</v>
      </c>
      <c r="H21" s="74">
        <f t="shared" si="2"/>
        <v>272308276.52976096</v>
      </c>
      <c r="I21" s="75">
        <f t="shared" si="3"/>
        <v>6.0153156968705712E-2</v>
      </c>
      <c r="J21" s="85">
        <f t="shared" si="3"/>
        <v>8.7476456750712472E-4</v>
      </c>
      <c r="L21" s="224"/>
      <c r="M21" s="224"/>
      <c r="N21" s="138"/>
    </row>
    <row r="22" spans="1:14" ht="12.75" customHeight="1" x14ac:dyDescent="0.2">
      <c r="A22" s="63">
        <f t="shared" si="0"/>
        <v>2017</v>
      </c>
      <c r="B22" s="201">
        <v>347869872.5</v>
      </c>
      <c r="C22" s="201">
        <v>204222855.24000001</v>
      </c>
      <c r="D22" s="202">
        <v>2.9500000000000002E-2</v>
      </c>
      <c r="E22" s="70"/>
      <c r="F22" s="84">
        <f t="shared" si="4"/>
        <v>0.41849772659208573</v>
      </c>
      <c r="G22" s="74">
        <f t="shared" si="1"/>
        <v>479312892.94912934</v>
      </c>
      <c r="H22" s="74">
        <f t="shared" si="2"/>
        <v>281388689.5348078</v>
      </c>
      <c r="I22" s="75">
        <f t="shared" si="3"/>
        <v>0.11140561553432704</v>
      </c>
      <c r="J22" s="85">
        <f t="shared" si="3"/>
        <v>3.3346077911276639E-2</v>
      </c>
      <c r="L22" s="224"/>
      <c r="M22" s="224"/>
      <c r="N22" s="138"/>
    </row>
    <row r="23" spans="1:14" ht="12.75" customHeight="1" x14ac:dyDescent="0.2">
      <c r="A23" s="63">
        <f t="shared" si="0"/>
        <v>2018</v>
      </c>
      <c r="B23" s="201">
        <v>386177331.76999998</v>
      </c>
      <c r="C23" s="201">
        <v>217258356.63999999</v>
      </c>
      <c r="D23" s="202">
        <v>3.7499999999999999E-2</v>
      </c>
      <c r="E23" s="70"/>
      <c r="F23" s="84">
        <f t="shared" si="4"/>
        <v>0.37785111859357512</v>
      </c>
      <c r="G23" s="74">
        <f t="shared" si="1"/>
        <v>512862523.90821844</v>
      </c>
      <c r="H23" s="74">
        <f t="shared" si="2"/>
        <v>288529802.13997674</v>
      </c>
      <c r="I23" s="75">
        <f t="shared" si="3"/>
        <v>6.9995260825687522E-2</v>
      </c>
      <c r="J23" s="85">
        <f t="shared" si="3"/>
        <v>2.5378108185423631E-2</v>
      </c>
      <c r="L23" s="224"/>
      <c r="M23" s="224"/>
      <c r="N23" s="138"/>
    </row>
    <row r="24" spans="1:14" ht="12.75" customHeight="1" x14ac:dyDescent="0.2">
      <c r="A24" s="63">
        <f t="shared" si="0"/>
        <v>2019</v>
      </c>
      <c r="B24" s="201">
        <v>420310866.69</v>
      </c>
      <c r="C24" s="201">
        <v>231125911.31999999</v>
      </c>
      <c r="D24" s="202">
        <v>4.3099999999999999E-2</v>
      </c>
      <c r="E24" s="70"/>
      <c r="F24" s="84">
        <f t="shared" si="4"/>
        <v>0.32804927093356628</v>
      </c>
      <c r="G24" s="74">
        <f t="shared" si="1"/>
        <v>535129460.33276761</v>
      </c>
      <c r="H24" s="74">
        <f t="shared" si="2"/>
        <v>294263827.07543105</v>
      </c>
      <c r="I24" s="75">
        <f t="shared" si="3"/>
        <v>4.3416969239370662E-2</v>
      </c>
      <c r="J24" s="85">
        <f t="shared" si="3"/>
        <v>1.9873250156226652E-2</v>
      </c>
      <c r="L24" s="224"/>
      <c r="M24" s="224"/>
      <c r="N24" s="138"/>
    </row>
    <row r="25" spans="1:14" ht="12.75" customHeight="1" x14ac:dyDescent="0.2">
      <c r="A25" s="63">
        <f t="shared" si="0"/>
        <v>2020</v>
      </c>
      <c r="B25" s="201">
        <v>491154242.80000001</v>
      </c>
      <c r="C25" s="201">
        <v>253292667.21000001</v>
      </c>
      <c r="D25" s="202">
        <v>4.5199999999999997E-2</v>
      </c>
      <c r="E25" s="70"/>
      <c r="F25" s="84">
        <f t="shared" si="4"/>
        <v>0.27317541073105778</v>
      </c>
      <c r="G25" s="74">
        <f t="shared" si="1"/>
        <v>598283108.31342494</v>
      </c>
      <c r="H25" s="74">
        <f t="shared" si="2"/>
        <v>308539988.14605522</v>
      </c>
      <c r="I25" s="75">
        <f t="shared" si="3"/>
        <v>0.11801564417960764</v>
      </c>
      <c r="J25" s="85">
        <f t="shared" si="3"/>
        <v>4.8514835182119187E-2</v>
      </c>
      <c r="L25" s="224"/>
      <c r="M25" s="224"/>
      <c r="N25" s="138"/>
    </row>
    <row r="26" spans="1:14" ht="12.75" customHeight="1" x14ac:dyDescent="0.2">
      <c r="A26" s="63">
        <f t="shared" si="0"/>
        <v>2021</v>
      </c>
      <c r="B26" s="201">
        <v>576249864.55999994</v>
      </c>
      <c r="C26" s="201">
        <v>268033456.77000001</v>
      </c>
      <c r="D26" s="202">
        <v>0.10060000000000001</v>
      </c>
      <c r="E26" s="70"/>
      <c r="F26" s="84">
        <f t="shared" si="4"/>
        <v>0.21811654298800032</v>
      </c>
      <c r="G26" s="74">
        <f t="shared" si="1"/>
        <v>637778932.3233968</v>
      </c>
      <c r="H26" s="74">
        <f t="shared" si="2"/>
        <v>296652723.75594765</v>
      </c>
      <c r="I26" s="75">
        <f t="shared" si="3"/>
        <v>6.6015275145092422E-2</v>
      </c>
      <c r="J26" s="85">
        <f t="shared" si="3"/>
        <v>-3.8527467578952646E-2</v>
      </c>
      <c r="L26" s="224"/>
      <c r="M26" s="224"/>
      <c r="N26" s="138"/>
    </row>
    <row r="27" spans="1:14" x14ac:dyDescent="0.2">
      <c r="A27" s="63">
        <f t="shared" si="0"/>
        <v>2022</v>
      </c>
      <c r="B27" s="201">
        <v>696425289.40999997</v>
      </c>
      <c r="C27" s="201">
        <v>320215406.54000002</v>
      </c>
      <c r="D27" s="202">
        <v>5.79E-2</v>
      </c>
      <c r="E27" s="70"/>
      <c r="F27" s="84">
        <f t="shared" si="4"/>
        <v>0.10677498000000019</v>
      </c>
      <c r="G27" s="74">
        <f t="shared" si="1"/>
        <v>728600137.78074193</v>
      </c>
      <c r="H27" s="74">
        <f>IFERROR((1+$F28)*C27,"")</f>
        <v>335009358.32214803</v>
      </c>
      <c r="I27" s="75">
        <f t="shared" si="3"/>
        <v>0.14240232916833429</v>
      </c>
      <c r="J27" s="85">
        <f t="shared" si="3"/>
        <v>0.12929810345431347</v>
      </c>
    </row>
    <row r="28" spans="1:14" ht="13.5" thickBot="1" x14ac:dyDescent="0.25">
      <c r="A28" s="64">
        <f>C4-1</f>
        <v>2023</v>
      </c>
      <c r="B28" s="203">
        <v>804758849.48000002</v>
      </c>
      <c r="C28" s="203">
        <v>382675569.76999998</v>
      </c>
      <c r="D28" s="202">
        <v>4.6199999999999998E-2</v>
      </c>
      <c r="E28" s="70"/>
      <c r="F28" s="86">
        <f>IF(D28="","",((1+D29)*(1+D28))-1)</f>
        <v>4.6200000000000019E-2</v>
      </c>
      <c r="G28" s="87">
        <f>IFERROR((1+$D29)*B28,"")</f>
        <v>804758849.48000002</v>
      </c>
      <c r="H28" s="87">
        <f>IFERROR((1+$D29)*C28,"")</f>
        <v>382675569.76999998</v>
      </c>
      <c r="I28" s="88">
        <f t="shared" si="3"/>
        <v>0.10452744619460463</v>
      </c>
      <c r="J28" s="89">
        <f t="shared" si="3"/>
        <v>0.14228322362868351</v>
      </c>
    </row>
    <row r="29" spans="1:14" x14ac:dyDescent="0.2"/>
    <row r="30" spans="1:14" x14ac:dyDescent="0.2"/>
    <row r="31" spans="1:14" x14ac:dyDescent="0.2"/>
    <row r="67" s="65" customFormat="1" hidden="1" x14ac:dyDescent="0.2"/>
  </sheetData>
  <mergeCells count="9">
    <mergeCell ref="L24:M24"/>
    <mergeCell ref="L25:M25"/>
    <mergeCell ref="L26:M26"/>
    <mergeCell ref="L18:M18"/>
    <mergeCell ref="L19:M19"/>
    <mergeCell ref="L20:M20"/>
    <mergeCell ref="L21:M21"/>
    <mergeCell ref="L22:M22"/>
    <mergeCell ref="L23:M23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51" fitToHeight="2" orientation="landscape" verticalDpi="300" r:id="rId1"/>
  <headerFooter alignWithMargins="0"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81"/>
  <sheetViews>
    <sheetView showGridLines="0" tabSelected="1" zoomScale="110" zoomScaleNormal="110" zoomScaleSheetLayoutView="85" workbookViewId="0">
      <pane ySplit="7" topLeftCell="A8" activePane="bottomLeft" state="frozen"/>
      <selection pane="bottomLeft" activeCell="G5" sqref="G5"/>
    </sheetView>
  </sheetViews>
  <sheetFormatPr defaultColWidth="0" defaultRowHeight="12.75" zeroHeight="1" x14ac:dyDescent="0.2"/>
  <cols>
    <col min="1" max="1" width="6.28515625" style="53" customWidth="1"/>
    <col min="2" max="2" width="4.85546875" style="53" customWidth="1"/>
    <col min="3" max="3" width="13.7109375" style="53" customWidth="1"/>
    <col min="4" max="4" width="14.28515625" style="53" customWidth="1"/>
    <col min="5" max="6" width="15.42578125" style="53" customWidth="1"/>
    <col min="7" max="7" width="14.28515625" style="53" customWidth="1"/>
    <col min="8" max="9" width="14.7109375" style="53" customWidth="1"/>
    <col min="10" max="10" width="17.5703125" style="53" customWidth="1"/>
    <col min="11" max="11" width="14.7109375" style="53" customWidth="1"/>
    <col min="12" max="12" width="14.42578125" style="53" customWidth="1"/>
    <col min="13" max="13" width="19" style="70" customWidth="1"/>
    <col min="14" max="23" width="0" style="53" hidden="1" customWidth="1"/>
    <col min="24" max="16384" width="19" style="53" hidden="1"/>
  </cols>
  <sheetData>
    <row r="1" spans="1:23" s="51" customFormat="1" ht="18" x14ac:dyDescent="0.25">
      <c r="A1" s="66" t="s">
        <v>117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01"/>
    </row>
    <row r="2" spans="1:23" s="51" customFormat="1" x14ac:dyDescent="0.25">
      <c r="A2" s="53"/>
      <c r="B2" s="53"/>
      <c r="C2" s="53"/>
      <c r="D2" s="53"/>
      <c r="G2" s="53"/>
      <c r="M2" s="101"/>
    </row>
    <row r="3" spans="1:23" s="52" customFormat="1" x14ac:dyDescent="0.25">
      <c r="A3" s="52" t="s">
        <v>118</v>
      </c>
      <c r="B3" s="52" t="str">
        <f>'03 - Indicadores '!C3</f>
        <v>Toledo</v>
      </c>
      <c r="D3" s="54"/>
      <c r="E3" s="54"/>
      <c r="F3" s="54"/>
      <c r="G3" s="54"/>
      <c r="H3" s="54"/>
      <c r="I3" s="54"/>
      <c r="J3" s="54"/>
      <c r="K3" s="54"/>
      <c r="L3" s="54"/>
      <c r="M3" s="102"/>
    </row>
    <row r="4" spans="1:23" s="52" customFormat="1" x14ac:dyDescent="0.25">
      <c r="D4" s="54"/>
      <c r="E4" s="54"/>
      <c r="F4" s="54"/>
      <c r="G4" s="54"/>
      <c r="H4" s="54"/>
      <c r="I4" s="54"/>
      <c r="J4" s="54"/>
      <c r="K4" s="54"/>
      <c r="L4" s="54"/>
      <c r="M4" s="102"/>
    </row>
    <row r="5" spans="1:23" s="51" customFormat="1" x14ac:dyDescent="0.25">
      <c r="A5" s="225" t="s">
        <v>119</v>
      </c>
      <c r="B5" s="225"/>
      <c r="C5" s="225"/>
      <c r="D5" s="225"/>
      <c r="E5" s="225"/>
      <c r="F5" s="225"/>
      <c r="G5" s="208">
        <f>('01- Histórico'!C12+'01- Histórico'!C13)/'01- Histórico'!B28</f>
        <v>-1.4325418004224764</v>
      </c>
      <c r="M5" s="70"/>
      <c r="Q5" s="53"/>
      <c r="R5" s="53"/>
      <c r="S5" s="53"/>
      <c r="T5" s="53"/>
      <c r="U5" s="53"/>
      <c r="W5" s="53"/>
    </row>
    <row r="6" spans="1:23" ht="13.5" thickBot="1" x14ac:dyDescent="0.25"/>
    <row r="7" spans="1:23" s="62" customFormat="1" ht="51" x14ac:dyDescent="0.2">
      <c r="A7" s="103" t="s">
        <v>112</v>
      </c>
      <c r="B7" s="104" t="s">
        <v>120</v>
      </c>
      <c r="C7" s="81" t="str">
        <f>'01- Histórico'!B17</f>
        <v>RECEITA CORRENTE LÍQUIDA - RCL</v>
      </c>
      <c r="D7" s="105" t="s">
        <v>109</v>
      </c>
      <c r="E7" s="82" t="s">
        <v>131</v>
      </c>
      <c r="F7" s="82" t="s">
        <v>121</v>
      </c>
      <c r="G7" s="106" t="s">
        <v>122</v>
      </c>
      <c r="H7" s="81" t="s">
        <v>123</v>
      </c>
      <c r="I7" s="81" t="s">
        <v>124</v>
      </c>
      <c r="J7" s="81" t="s">
        <v>125</v>
      </c>
      <c r="K7" s="81" t="s">
        <v>126</v>
      </c>
      <c r="L7" s="107" t="s">
        <v>127</v>
      </c>
      <c r="M7" s="108"/>
    </row>
    <row r="8" spans="1:23" x14ac:dyDescent="0.2">
      <c r="A8" s="109">
        <f>'01- Histórico'!A28</f>
        <v>2023</v>
      </c>
      <c r="B8" s="110">
        <v>0</v>
      </c>
      <c r="C8" s="74">
        <f>'01- Histórico'!B28</f>
        <v>804758849.48000002</v>
      </c>
      <c r="D8" s="74">
        <f>'Anexo 1 - Despesa com Pessoal '!F14</f>
        <v>382675569.77000004</v>
      </c>
      <c r="E8" s="74">
        <f>'Fluxo e Duração do Passivo'!E10</f>
        <v>60045134.399999999</v>
      </c>
      <c r="F8" s="74">
        <f>'Fluxo e Duração do Passivo'!AS10+'Fluxo e Duração do Passivo'!AZ10</f>
        <v>70725276.579999998</v>
      </c>
      <c r="G8" s="74">
        <f>'Fluxo e Duração do Passivo'!M10</f>
        <v>28334731.286249999</v>
      </c>
      <c r="H8" s="113">
        <f>'Fluxo e Duração do Passivo'!AO10</f>
        <v>52691789.850000001</v>
      </c>
      <c r="I8" s="113">
        <f>'Fluxo e Duração do Passivo'!AP10</f>
        <v>0</v>
      </c>
      <c r="J8" s="113">
        <f>'Fluxo e Duração do Passivo'!BK10</f>
        <v>37618009.07</v>
      </c>
      <c r="K8" s="113">
        <f t="shared" ref="K8:K43" si="0">D8+G8+H8+I8+IF(J8&lt;0,J8*-1,0)</f>
        <v>463702090.90625006</v>
      </c>
      <c r="L8" s="114">
        <f>'Fluxo e Duração do Passivo'!BO10</f>
        <v>616747802.35887003</v>
      </c>
    </row>
    <row r="9" spans="1:23" x14ac:dyDescent="0.2">
      <c r="A9" s="109">
        <f>A8+1</f>
        <v>2024</v>
      </c>
      <c r="B9" s="110">
        <f>B8+1</f>
        <v>1</v>
      </c>
      <c r="C9" s="74">
        <f>C8*(1+'01- Histórico'!$B$14)</f>
        <v>866951842.80948806</v>
      </c>
      <c r="D9" s="74">
        <f>D8*(1+2%)</f>
        <v>390329081.16540003</v>
      </c>
      <c r="E9" s="74">
        <f>'Fluxo e Duração do Passivo'!E11</f>
        <v>62987393.149999999</v>
      </c>
      <c r="F9" s="74">
        <f>'Fluxo e Duração do Passivo'!AS11+'Fluxo e Duração do Passivo'!AZ11</f>
        <v>76217688.539999992</v>
      </c>
      <c r="G9" s="74">
        <f>'Fluxo e Duração do Passivo'!M11</f>
        <v>28097222.484379999</v>
      </c>
      <c r="H9" s="113">
        <f>'Fluxo e Duração do Passivo'!AO11</f>
        <v>66593350.030000001</v>
      </c>
      <c r="I9" s="113">
        <f>'Fluxo e Duração do Passivo'!AP11</f>
        <v>0</v>
      </c>
      <c r="J9" s="113">
        <f>'Fluxo e Duração do Passivo'!BK11</f>
        <v>45983463.410010003</v>
      </c>
      <c r="K9" s="113">
        <f t="shared" si="0"/>
        <v>485019653.67978001</v>
      </c>
      <c r="L9" s="114">
        <f>'Fluxo e Duração do Passivo'!BO11</f>
        <v>692951908.08446002</v>
      </c>
    </row>
    <row r="10" spans="1:23" x14ac:dyDescent="0.2">
      <c r="A10" s="109">
        <f t="shared" ref="A10:B25" si="1">A9+1</f>
        <v>2025</v>
      </c>
      <c r="B10" s="110">
        <f t="shared" si="1"/>
        <v>2</v>
      </c>
      <c r="C10" s="74">
        <f>C9*(1+'01- Histórico'!$B$14)</f>
        <v>933951205.67660975</v>
      </c>
      <c r="D10" s="74">
        <f t="shared" ref="D10:D43" si="2">D9*(1+2%)</f>
        <v>398135662.78870803</v>
      </c>
      <c r="E10" s="74">
        <f>'Fluxo e Duração do Passivo'!E12</f>
        <v>66073834.689999998</v>
      </c>
      <c r="F10" s="74">
        <f>'Fluxo e Duração do Passivo'!AS12+'Fluxo e Duração do Passivo'!AZ12</f>
        <v>82185966.920000002</v>
      </c>
      <c r="G10" s="74">
        <f>'Fluxo e Duração do Passivo'!M12</f>
        <v>28694440.535629999</v>
      </c>
      <c r="H10" s="113">
        <f>'Fluxo e Duração do Passivo'!AO12</f>
        <v>70956542.890000001</v>
      </c>
      <c r="I10" s="113">
        <f>'Fluxo e Duração do Passivo'!AP12</f>
        <v>0</v>
      </c>
      <c r="J10" s="113">
        <f>'Fluxo e Duração do Passivo'!BK12</f>
        <v>45850080.450010002</v>
      </c>
      <c r="K10" s="113">
        <f t="shared" si="0"/>
        <v>497786646.214338</v>
      </c>
      <c r="L10" s="114">
        <f>'Fluxo e Duração do Passivo'!BO12</f>
        <v>772756632.03060997</v>
      </c>
    </row>
    <row r="11" spans="1:23" x14ac:dyDescent="0.2">
      <c r="A11" s="109">
        <f t="shared" si="1"/>
        <v>2026</v>
      </c>
      <c r="B11" s="110">
        <f t="shared" si="1"/>
        <v>3</v>
      </c>
      <c r="C11" s="74">
        <f>C10*(1+'01- Histórico'!$B$14)</f>
        <v>1006128381.6619933</v>
      </c>
      <c r="D11" s="74">
        <f t="shared" si="2"/>
        <v>406098376.04448217</v>
      </c>
      <c r="E11" s="74">
        <f>'Fluxo e Duração do Passivo'!E13</f>
        <v>69311759.020000011</v>
      </c>
      <c r="F11" s="74">
        <f>'Fluxo e Duração do Passivo'!AS13+'Fluxo e Duração do Passivo'!AZ13</f>
        <v>87874756.170000002</v>
      </c>
      <c r="G11" s="74">
        <f>'Fluxo e Duração do Passivo'!M13</f>
        <v>29290671.776250001</v>
      </c>
      <c r="H11" s="113">
        <f>'Fluxo e Duração do Passivo'!AO13</f>
        <v>80120935.010000005</v>
      </c>
      <c r="I11" s="113">
        <f>'Fluxo e Duração do Passivo'!AP13</f>
        <v>0</v>
      </c>
      <c r="J11" s="113">
        <f>'Fluxo e Duração do Passivo'!BK13</f>
        <v>50780672.390000001</v>
      </c>
      <c r="K11" s="113">
        <f t="shared" si="0"/>
        <v>515509982.83073217</v>
      </c>
      <c r="L11" s="114">
        <f>'Fluxo e Duração do Passivo'!BO13</f>
        <v>861402379.39011002</v>
      </c>
    </row>
    <row r="12" spans="1:23" x14ac:dyDescent="0.2">
      <c r="A12" s="109">
        <f t="shared" si="1"/>
        <v>2027</v>
      </c>
      <c r="B12" s="110">
        <f t="shared" si="1"/>
        <v>4</v>
      </c>
      <c r="C12" s="74">
        <f>C11*(1+'01- Histórico'!$B$14)</f>
        <v>1083883520.0736375</v>
      </c>
      <c r="D12" s="74">
        <f t="shared" si="2"/>
        <v>414220343.56537181</v>
      </c>
      <c r="E12" s="74">
        <f>'Fluxo e Duração do Passivo'!E14</f>
        <v>72708410.550000012</v>
      </c>
      <c r="F12" s="74">
        <f>'Fluxo e Duração do Passivo'!AS14+'Fluxo e Duração do Passivo'!AZ14</f>
        <v>93677155.480000004</v>
      </c>
      <c r="G12" s="74">
        <f>'Fluxo e Duração do Passivo'!M14</f>
        <v>29971762.38563</v>
      </c>
      <c r="H12" s="113">
        <f>'Fluxo e Duração do Passivo'!AO14</f>
        <v>89721342.680000007</v>
      </c>
      <c r="I12" s="113">
        <f>'Fluxo e Duração do Passivo'!AP14</f>
        <v>0</v>
      </c>
      <c r="J12" s="113">
        <f>'Fluxo e Duração do Passivo'!BK14</f>
        <v>56194216.970009997</v>
      </c>
      <c r="K12" s="113">
        <f t="shared" si="0"/>
        <v>533913448.63100183</v>
      </c>
      <c r="L12" s="114">
        <f>'Fluxo e Duração do Passivo'!BO14</f>
        <v>959805312.95024002</v>
      </c>
    </row>
    <row r="13" spans="1:23" x14ac:dyDescent="0.2">
      <c r="A13" s="109">
        <f t="shared" si="1"/>
        <v>2028</v>
      </c>
      <c r="B13" s="110">
        <f t="shared" si="1"/>
        <v>5</v>
      </c>
      <c r="C13" s="74">
        <f>C12*(1+'01- Histórico'!$B$14)</f>
        <v>1167647694.3693774</v>
      </c>
      <c r="D13" s="74">
        <f t="shared" si="2"/>
        <v>422504750.43667924</v>
      </c>
      <c r="E13" s="74">
        <f>'Fluxo e Duração do Passivo'!E15</f>
        <v>76270734.800000012</v>
      </c>
      <c r="F13" s="74">
        <f>'Fluxo e Duração do Passivo'!AS15+'Fluxo e Duração do Passivo'!AZ15</f>
        <v>99766843.200000003</v>
      </c>
      <c r="G13" s="74">
        <f>'Fluxo e Duração do Passivo'!M15</f>
        <v>30758127.834380001</v>
      </c>
      <c r="H13" s="113">
        <f>'Fluxo e Duração do Passivo'!AO15</f>
        <v>99773363.290000007</v>
      </c>
      <c r="I13" s="113">
        <f>'Fluxo e Duração do Passivo'!AP15</f>
        <v>0</v>
      </c>
      <c r="J13" s="113">
        <f>'Fluxo e Duração do Passivo'!BK15</f>
        <v>61974882.040009998</v>
      </c>
      <c r="K13" s="113">
        <f t="shared" si="0"/>
        <v>553036241.56105924</v>
      </c>
      <c r="L13" s="114">
        <f>'Fluxo e Duração do Passivo'!BO15</f>
        <v>1068810655.32481</v>
      </c>
    </row>
    <row r="14" spans="1:23" x14ac:dyDescent="0.2">
      <c r="A14" s="109">
        <f t="shared" si="1"/>
        <v>2029</v>
      </c>
      <c r="B14" s="110">
        <f t="shared" si="1"/>
        <v>6</v>
      </c>
      <c r="C14" s="74">
        <f>C13*(1+'01- Histórico'!$B$14)</f>
        <v>1257885292.0224264</v>
      </c>
      <c r="D14" s="74">
        <f t="shared" si="2"/>
        <v>430954845.44541281</v>
      </c>
      <c r="E14" s="74">
        <f>'Fluxo e Duração do Passivo'!E16</f>
        <v>80008419.190000013</v>
      </c>
      <c r="F14" s="74">
        <f>'Fluxo e Duração do Passivo'!AS16+'Fluxo e Duração do Passivo'!AZ16</f>
        <v>106386608.11000001</v>
      </c>
      <c r="G14" s="74">
        <f>'Fluxo e Duração do Passivo'!M16</f>
        <v>31410627.93</v>
      </c>
      <c r="H14" s="113">
        <f>'Fluxo e Duração do Passivo'!AO16</f>
        <v>111609243.88000001</v>
      </c>
      <c r="I14" s="113">
        <f>'Fluxo e Duração do Passivo'!AP16</f>
        <v>0</v>
      </c>
      <c r="J14" s="113">
        <f>'Fluxo e Duração do Passivo'!BK16</f>
        <v>68811123.040000007</v>
      </c>
      <c r="K14" s="113">
        <f t="shared" si="0"/>
        <v>573974717.25541282</v>
      </c>
      <c r="L14" s="114">
        <f>'Fluxo e Duração do Passivo'!BO16</f>
        <v>1189993500.4757299</v>
      </c>
    </row>
    <row r="15" spans="1:23" x14ac:dyDescent="0.2">
      <c r="A15" s="109">
        <f t="shared" si="1"/>
        <v>2030</v>
      </c>
      <c r="B15" s="110">
        <f t="shared" si="1"/>
        <v>7</v>
      </c>
      <c r="C15" s="74">
        <f>C14*(1+'01- Histórico'!$B$14)</f>
        <v>1355096589.0793793</v>
      </c>
      <c r="D15" s="74">
        <f t="shared" si="2"/>
        <v>439573942.35432106</v>
      </c>
      <c r="E15" s="74">
        <f>'Fluxo e Duração do Passivo'!E17</f>
        <v>83929008.690000013</v>
      </c>
      <c r="F15" s="74">
        <f>'Fluxo e Duração do Passivo'!AS17+'Fluxo e Duração do Passivo'!AZ17</f>
        <v>114895636.45999999</v>
      </c>
      <c r="G15" s="74">
        <f>'Fluxo e Duração do Passivo'!M17</f>
        <v>31645251.06188</v>
      </c>
      <c r="H15" s="113">
        <f>'Fluxo e Duração do Passivo'!AO17</f>
        <v>122654221.53</v>
      </c>
      <c r="I15" s="113">
        <f>'Fluxo e Duração do Passivo'!AP17</f>
        <v>0</v>
      </c>
      <c r="J15" s="113">
        <f>'Fluxo e Duração do Passivo'!BK17</f>
        <v>72338426.350009993</v>
      </c>
      <c r="K15" s="113">
        <f t="shared" si="0"/>
        <v>593873414.94620109</v>
      </c>
      <c r="L15" s="114">
        <f>'Fluxo e Duração do Passivo'!BO17</f>
        <v>1320641608.34905</v>
      </c>
    </row>
    <row r="16" spans="1:23" x14ac:dyDescent="0.2">
      <c r="A16" s="109">
        <f t="shared" si="1"/>
        <v>2031</v>
      </c>
      <c r="B16" s="110">
        <f t="shared" si="1"/>
        <v>8</v>
      </c>
      <c r="C16" s="74">
        <f>C15*(1+'01- Histórico'!$B$14)</f>
        <v>1459820523.6839907</v>
      </c>
      <c r="D16" s="74">
        <f t="shared" si="2"/>
        <v>448365421.20140749</v>
      </c>
      <c r="E16" s="74">
        <f>'Fluxo e Duração do Passivo'!E18</f>
        <v>88041872.450000003</v>
      </c>
      <c r="F16" s="74">
        <f>'Fluxo e Duração do Passivo'!AS18+'Fluxo e Duração do Passivo'!AZ18</f>
        <v>122507940.23</v>
      </c>
      <c r="G16" s="74">
        <f>'Fluxo e Duração do Passivo'!M18</f>
        <v>31187416.17938</v>
      </c>
      <c r="H16" s="113">
        <f>'Fluxo e Duração do Passivo'!AO18</f>
        <v>134206479.56</v>
      </c>
      <c r="I16" s="113">
        <f>'Fluxo e Duração do Passivo'!AP18</f>
        <v>0</v>
      </c>
      <c r="J16" s="113">
        <f>'Fluxo e Duração do Passivo'!BK18</f>
        <v>75989742.750009999</v>
      </c>
      <c r="K16" s="113">
        <f t="shared" si="0"/>
        <v>613759316.94078755</v>
      </c>
      <c r="L16" s="114">
        <f>'Fluxo e Duração do Passivo'!BO18</f>
        <v>1461342789.90816</v>
      </c>
    </row>
    <row r="17" spans="1:12" x14ac:dyDescent="0.2">
      <c r="A17" s="109">
        <f t="shared" si="1"/>
        <v>2032</v>
      </c>
      <c r="B17" s="110">
        <f t="shared" si="1"/>
        <v>9</v>
      </c>
      <c r="C17" s="74">
        <f>C16*(1+'01- Histórico'!$B$14)</f>
        <v>1572637683.9431083</v>
      </c>
      <c r="D17" s="74">
        <f t="shared" si="2"/>
        <v>457332729.62543565</v>
      </c>
      <c r="E17" s="74">
        <f>'Fluxo e Duração do Passivo'!E19</f>
        <v>92356035.280000001</v>
      </c>
      <c r="F17" s="74">
        <f>'Fluxo e Duração do Passivo'!AS19+'Fluxo e Duração do Passivo'!AZ19</f>
        <v>129862066.01000001</v>
      </c>
      <c r="G17" s="74">
        <f>'Fluxo e Duração do Passivo'!M19</f>
        <v>31223516.000629999</v>
      </c>
      <c r="H17" s="113">
        <f>'Fluxo e Duração do Passivo'!AO19</f>
        <v>146284547.17999998</v>
      </c>
      <c r="I17" s="113">
        <f>'Fluxo e Duração do Passivo'!AP19</f>
        <v>0</v>
      </c>
      <c r="J17" s="113">
        <f>'Fluxo e Duração do Passivo'!BK19</f>
        <v>81263316.690009996</v>
      </c>
      <c r="K17" s="113">
        <f t="shared" si="0"/>
        <v>634840792.80606568</v>
      </c>
      <c r="L17" s="114">
        <f>'Fluxo e Duração do Passivo'!BO19</f>
        <v>1614211903.3036699</v>
      </c>
    </row>
    <row r="18" spans="1:12" x14ac:dyDescent="0.2">
      <c r="A18" s="109">
        <f t="shared" si="1"/>
        <v>2033</v>
      </c>
      <c r="B18" s="110">
        <f t="shared" si="1"/>
        <v>10</v>
      </c>
      <c r="C18" s="74">
        <f>C17*(1+'01- Histórico'!$B$14)</f>
        <v>1694173526.6994495</v>
      </c>
      <c r="D18" s="74">
        <f t="shared" si="2"/>
        <v>466479384.21794438</v>
      </c>
      <c r="E18" s="74">
        <f>'Fluxo e Duração do Passivo'!E20</f>
        <v>96881376.219999999</v>
      </c>
      <c r="F18" s="74">
        <f>'Fluxo e Duração do Passivo'!AS20+'Fluxo e Duração do Passivo'!AZ20</f>
        <v>139007091.22999999</v>
      </c>
      <c r="G18" s="74">
        <f>'Fluxo e Duração do Passivo'!M20</f>
        <v>31020213.105</v>
      </c>
      <c r="H18" s="113">
        <f>'Fluxo e Duração do Passivo'!AO20</f>
        <v>158908163.70999998</v>
      </c>
      <c r="I18" s="113">
        <f>'Fluxo e Duração do Passivo'!AP20</f>
        <v>0</v>
      </c>
      <c r="J18" s="113">
        <f>'Fluxo e Duração do Passivo'!BK20</f>
        <v>85001763.159999996</v>
      </c>
      <c r="K18" s="113">
        <f t="shared" si="0"/>
        <v>656407761.03294444</v>
      </c>
      <c r="L18" s="114">
        <f>'Fluxo e Duração do Passivo'!BO20</f>
        <v>1778310049.7255499</v>
      </c>
    </row>
    <row r="19" spans="1:12" x14ac:dyDescent="0.2">
      <c r="A19" s="109">
        <f t="shared" si="1"/>
        <v>2034</v>
      </c>
      <c r="B19" s="110">
        <f t="shared" si="1"/>
        <v>11</v>
      </c>
      <c r="C19" s="74">
        <f>C18*(1+'01- Histórico'!$B$14)</f>
        <v>1825101845.0560565</v>
      </c>
      <c r="D19" s="74">
        <f t="shared" si="2"/>
        <v>475808971.90230328</v>
      </c>
      <c r="E19" s="74">
        <f>'Fluxo e Duração do Passivo'!E21</f>
        <v>101628861.13000001</v>
      </c>
      <c r="F19" s="74">
        <f>'Fluxo e Duração do Passivo'!AS21+'Fluxo e Duração do Passivo'!AZ21</f>
        <v>144881213.75999999</v>
      </c>
      <c r="G19" s="74">
        <f>'Fluxo e Duração do Passivo'!M21</f>
        <v>30653944.126880001</v>
      </c>
      <c r="H19" s="113">
        <f>'Fluxo e Duração do Passivo'!AO21</f>
        <v>172098773.84</v>
      </c>
      <c r="I19" s="113">
        <f>'Fluxo e Duração do Passivo'!AP21</f>
        <v>0</v>
      </c>
      <c r="J19" s="113">
        <f>'Fluxo e Duração do Passivo'!BK21</f>
        <v>91945376.260010004</v>
      </c>
      <c r="K19" s="113">
        <f t="shared" si="0"/>
        <v>678561689.8691833</v>
      </c>
      <c r="L19" s="114">
        <f>'Fluxo e Duração do Passivo'!BO21</f>
        <v>1957392618.4221101</v>
      </c>
    </row>
    <row r="20" spans="1:12" x14ac:dyDescent="0.2">
      <c r="A20" s="109">
        <f t="shared" si="1"/>
        <v>2035</v>
      </c>
      <c r="B20" s="110">
        <f t="shared" si="1"/>
        <v>12</v>
      </c>
      <c r="C20" s="74">
        <f>C19*(1+'01- Histórico'!$B$14)</f>
        <v>1966148503.8763378</v>
      </c>
      <c r="D20" s="74">
        <f t="shared" si="2"/>
        <v>485325151.34034938</v>
      </c>
      <c r="E20" s="74">
        <f>'Fluxo e Duração do Passivo'!E22</f>
        <v>106500206.23</v>
      </c>
      <c r="F20" s="74">
        <f>'Fluxo e Duração do Passivo'!AS22+'Fluxo e Duração do Passivo'!AZ22</f>
        <v>152850193.72</v>
      </c>
      <c r="G20" s="74">
        <f>'Fluxo e Duração do Passivo'!M22</f>
        <v>30259572.524999999</v>
      </c>
      <c r="H20" s="113">
        <f>'Fluxo e Duração do Passivo'!AO22</f>
        <v>185876706.75999999</v>
      </c>
      <c r="I20" s="113">
        <f>'Fluxo e Duração do Passivo'!AP22</f>
        <v>0</v>
      </c>
      <c r="J20" s="113">
        <f>'Fluxo e Duração do Passivo'!BK22</f>
        <v>97544401.989999995</v>
      </c>
      <c r="K20" s="113">
        <f t="shared" si="0"/>
        <v>701461430.62534928</v>
      </c>
      <c r="L20" s="114">
        <f>'Fluxo e Duração do Passivo'!BO22</f>
        <v>2150849258.7147899</v>
      </c>
    </row>
    <row r="21" spans="1:12" x14ac:dyDescent="0.2">
      <c r="A21" s="109">
        <f t="shared" si="1"/>
        <v>2036</v>
      </c>
      <c r="B21" s="110">
        <f t="shared" si="1"/>
        <v>13</v>
      </c>
      <c r="C21" s="74">
        <f>C20*(1+'01- Histórico'!$B$14)</f>
        <v>2118095463.9692607</v>
      </c>
      <c r="D21" s="74">
        <f t="shared" si="2"/>
        <v>495031654.36715639</v>
      </c>
      <c r="E21" s="74">
        <f>'Fluxo e Duração do Passivo'!E23</f>
        <v>111674768.72</v>
      </c>
      <c r="F21" s="74">
        <f>'Fluxo e Duração do Passivo'!AS23+'Fluxo e Duração do Passivo'!AZ23</f>
        <v>158210177.48000002</v>
      </c>
      <c r="G21" s="74">
        <f>'Fluxo e Duração do Passivo'!M23</f>
        <v>29419377.75</v>
      </c>
      <c r="H21" s="113">
        <f>'Fluxo e Duração do Passivo'!AO23</f>
        <v>200263656.92999998</v>
      </c>
      <c r="I21" s="113">
        <f>'Fluxo e Duração do Passivo'!AP23</f>
        <v>0</v>
      </c>
      <c r="J21" s="113">
        <f>'Fluxo e Duração do Passivo'!BK23</f>
        <v>105356047.01000001</v>
      </c>
      <c r="K21" s="113">
        <f t="shared" si="0"/>
        <v>724714689.04715633</v>
      </c>
      <c r="L21" s="114">
        <f>'Fluxo e Duração do Passivo'!BO23</f>
        <v>2361596919.4018202</v>
      </c>
    </row>
    <row r="22" spans="1:12" x14ac:dyDescent="0.2">
      <c r="A22" s="109">
        <f t="shared" si="1"/>
        <v>2037</v>
      </c>
      <c r="B22" s="110">
        <f t="shared" si="1"/>
        <v>14</v>
      </c>
      <c r="C22" s="74">
        <f>C21*(1+'01- Histórico'!$B$14)</f>
        <v>2281785117.269722</v>
      </c>
      <c r="D22" s="74">
        <f t="shared" si="2"/>
        <v>504932287.45449954</v>
      </c>
      <c r="E22" s="74">
        <f>'Fluxo e Duração do Passivo'!E24</f>
        <v>117143750.37</v>
      </c>
      <c r="F22" s="74">
        <f>'Fluxo e Duração do Passivo'!AS24+'Fluxo e Duração do Passivo'!AZ24</f>
        <v>169586614.69</v>
      </c>
      <c r="G22" s="74">
        <f>'Fluxo e Duração do Passivo'!M24</f>
        <v>28612107.140629999</v>
      </c>
      <c r="H22" s="113">
        <f>'Fluxo e Duração do Passivo'!AO24</f>
        <v>215930712.81999999</v>
      </c>
      <c r="I22" s="113">
        <f>'Fluxo e Duração do Passivo'!AP24</f>
        <v>0</v>
      </c>
      <c r="J22" s="113">
        <f>'Fluxo e Duração do Passivo'!BK24</f>
        <v>108905673.86001</v>
      </c>
      <c r="K22" s="113">
        <f t="shared" si="0"/>
        <v>749475107.41512954</v>
      </c>
      <c r="L22" s="114">
        <f>'Fluxo e Duração do Passivo'!BO24</f>
        <v>2586220842.31252</v>
      </c>
    </row>
    <row r="23" spans="1:12" x14ac:dyDescent="0.2">
      <c r="A23" s="109">
        <f t="shared" si="1"/>
        <v>2038</v>
      </c>
      <c r="B23" s="110">
        <f t="shared" si="1"/>
        <v>15</v>
      </c>
      <c r="C23" s="74">
        <f>C22*(1+'01- Histórico'!$B$14)</f>
        <v>2458124957.0482812</v>
      </c>
      <c r="D23" s="74">
        <f t="shared" si="2"/>
        <v>515030933.20358956</v>
      </c>
      <c r="E23" s="74">
        <f>'Fluxo e Duração do Passivo'!E25</f>
        <v>122857837.16000001</v>
      </c>
      <c r="F23" s="74">
        <f>'Fluxo e Duração do Passivo'!AS25+'Fluxo e Duração do Passivo'!AZ25</f>
        <v>176467257</v>
      </c>
      <c r="G23" s="74">
        <f>'Fluxo e Duração do Passivo'!M25</f>
        <v>27286896.52688</v>
      </c>
      <c r="H23" s="113">
        <f>'Fluxo e Duração do Passivo'!AO25</f>
        <v>232154277.14999998</v>
      </c>
      <c r="I23" s="113">
        <f>'Fluxo e Duração do Passivo'!AP25</f>
        <v>0</v>
      </c>
      <c r="J23" s="113">
        <f>'Fluxo e Duração do Passivo'!BK25</f>
        <v>116280785.95001</v>
      </c>
      <c r="K23" s="113">
        <f t="shared" si="0"/>
        <v>774472106.88046956</v>
      </c>
      <c r="L23" s="114">
        <f>'Fluxo e Duração do Passivo'!BO25</f>
        <v>2829226449.53584</v>
      </c>
    </row>
    <row r="24" spans="1:12" x14ac:dyDescent="0.2">
      <c r="A24" s="109">
        <f t="shared" si="1"/>
        <v>2039</v>
      </c>
      <c r="B24" s="110">
        <f t="shared" si="1"/>
        <v>16</v>
      </c>
      <c r="C24" s="74">
        <f>C23*(1+'01- Histórico'!$B$14)</f>
        <v>2648092609.0418382</v>
      </c>
      <c r="D24" s="74">
        <f t="shared" si="2"/>
        <v>525331551.86766136</v>
      </c>
      <c r="E24" s="74">
        <f>'Fluxo e Duração do Passivo'!E26</f>
        <v>128588263.38000001</v>
      </c>
      <c r="F24" s="74">
        <f>'Fluxo e Duração do Passivo'!AS26+'Fluxo e Duração do Passivo'!AZ26</f>
        <v>186689636.36000001</v>
      </c>
      <c r="G24" s="74">
        <f>'Fluxo e Duração do Passivo'!M26</f>
        <v>25319852.859379999</v>
      </c>
      <c r="H24" s="113">
        <f>'Fluxo e Duração do Passivo'!AO26</f>
        <v>0</v>
      </c>
      <c r="I24" s="113">
        <f>'Fluxo e Duração do Passivo'!AP26</f>
        <v>0</v>
      </c>
      <c r="J24" s="113">
        <f>'Fluxo e Duração do Passivo'!BK26</f>
        <v>-128974217.64999001</v>
      </c>
      <c r="K24" s="113">
        <f t="shared" si="0"/>
        <v>679625622.37703133</v>
      </c>
      <c r="L24" s="114">
        <f>'Fluxo e Duração do Passivo'!BO26</f>
        <v>2838884327.9131098</v>
      </c>
    </row>
    <row r="25" spans="1:12" x14ac:dyDescent="0.2">
      <c r="A25" s="109">
        <f t="shared" si="1"/>
        <v>2040</v>
      </c>
      <c r="B25" s="110">
        <f t="shared" si="1"/>
        <v>17</v>
      </c>
      <c r="C25" s="74">
        <f>C24*(1+'01- Histórico'!$B$14)</f>
        <v>2852741251.3977723</v>
      </c>
      <c r="D25" s="74">
        <f t="shared" si="2"/>
        <v>535838182.90501457</v>
      </c>
      <c r="E25" s="74">
        <f>'Fluxo e Duração do Passivo'!E27</f>
        <v>134860202.48999998</v>
      </c>
      <c r="F25" s="74">
        <f>'Fluxo e Duração do Passivo'!AS27+'Fluxo e Duração do Passivo'!AZ27</f>
        <v>195707203.18000001</v>
      </c>
      <c r="G25" s="74">
        <f>'Fluxo e Duração do Passivo'!M27</f>
        <v>23515492.93313</v>
      </c>
      <c r="H25" s="113">
        <f>'Fluxo e Duração do Passivo'!AO27</f>
        <v>0</v>
      </c>
      <c r="I25" s="113">
        <f>'Fluxo e Duração do Passivo'!AP27</f>
        <v>0</v>
      </c>
      <c r="J25" s="113">
        <f>'Fluxo e Duração do Passivo'!BK27</f>
        <v>-140680811.06999001</v>
      </c>
      <c r="K25" s="113">
        <f t="shared" si="0"/>
        <v>700034486.90813458</v>
      </c>
      <c r="L25" s="114">
        <f>'Fluxo e Duração do Passivo'!BO27</f>
        <v>2837308848.9108601</v>
      </c>
    </row>
    <row r="26" spans="1:12" x14ac:dyDescent="0.2">
      <c r="A26" s="109">
        <f t="shared" ref="A26:B41" si="3">A25+1</f>
        <v>2041</v>
      </c>
      <c r="B26" s="110">
        <f t="shared" si="3"/>
        <v>18</v>
      </c>
      <c r="C26" s="74">
        <f>C25*(1+'01- Histórico'!$B$14)</f>
        <v>3073205453.4796486</v>
      </c>
      <c r="D26" s="74">
        <f t="shared" si="2"/>
        <v>546554946.56311488</v>
      </c>
      <c r="E26" s="74">
        <f>'Fluxo e Duração do Passivo'!E28</f>
        <v>140865474.81</v>
      </c>
      <c r="F26" s="74">
        <f>'Fluxo e Duração do Passivo'!AS28+'Fluxo e Duração do Passivo'!AZ28</f>
        <v>200319312.11000001</v>
      </c>
      <c r="G26" s="74">
        <f>'Fluxo e Duração do Passivo'!M28</f>
        <v>21863799.112500001</v>
      </c>
      <c r="H26" s="113">
        <f>'Fluxo e Duração do Passivo'!AO28</f>
        <v>0</v>
      </c>
      <c r="I26" s="113">
        <f>'Fluxo e Duração do Passivo'!AP28</f>
        <v>0</v>
      </c>
      <c r="J26" s="113">
        <f>'Fluxo e Duração do Passivo'!BK28</f>
        <v>-148064518.19</v>
      </c>
      <c r="K26" s="113">
        <f t="shared" si="0"/>
        <v>716483263.86561489</v>
      </c>
      <c r="L26" s="114">
        <f>'Fluxo e Duração do Passivo'!BO28</f>
        <v>2828272464.3174901</v>
      </c>
    </row>
    <row r="27" spans="1:12" x14ac:dyDescent="0.2">
      <c r="A27" s="109">
        <f t="shared" si="3"/>
        <v>2042</v>
      </c>
      <c r="B27" s="110">
        <f t="shared" si="3"/>
        <v>19</v>
      </c>
      <c r="C27" s="74">
        <f>C26*(1+'01- Histórico'!$B$14)</f>
        <v>3310707465.9047461</v>
      </c>
      <c r="D27" s="74">
        <f t="shared" si="2"/>
        <v>557486045.49437714</v>
      </c>
      <c r="E27" s="74">
        <f>'Fluxo e Duração do Passivo'!E29</f>
        <v>147588603.16999999</v>
      </c>
      <c r="F27" s="74">
        <f>'Fluxo e Duração do Passivo'!AS29+'Fluxo e Duração do Passivo'!AZ29</f>
        <v>211158585.56</v>
      </c>
      <c r="G27" s="74">
        <f>'Fluxo e Duração do Passivo'!M29</f>
        <v>20335011.485629998</v>
      </c>
      <c r="H27" s="113">
        <f>'Fluxo e Duração do Passivo'!AO29</f>
        <v>0</v>
      </c>
      <c r="I27" s="113">
        <f>'Fluxo e Duração do Passivo'!AP29</f>
        <v>0</v>
      </c>
      <c r="J27" s="113">
        <f>'Fluxo e Duração do Passivo'!BK29</f>
        <v>-161089254.64998999</v>
      </c>
      <c r="K27" s="113">
        <f t="shared" si="0"/>
        <v>738910311.62999713</v>
      </c>
      <c r="L27" s="114">
        <f>'Fluxo e Duração do Passivo'!BO29</f>
        <v>2805768560.4190602</v>
      </c>
    </row>
    <row r="28" spans="1:12" x14ac:dyDescent="0.2">
      <c r="A28" s="109">
        <f t="shared" si="3"/>
        <v>2043</v>
      </c>
      <c r="B28" s="110">
        <f t="shared" si="3"/>
        <v>20</v>
      </c>
      <c r="C28" s="74">
        <f>C27*(1+'01- Histórico'!$B$14)</f>
        <v>3566563996.685297</v>
      </c>
      <c r="D28" s="74">
        <f t="shared" si="2"/>
        <v>568635766.40426469</v>
      </c>
      <c r="E28" s="74">
        <f>'Fluxo e Duração do Passivo'!E30</f>
        <v>153287509.38</v>
      </c>
      <c r="F28" s="74">
        <f>'Fluxo e Duração do Passivo'!AS30+'Fluxo e Duração do Passivo'!AZ30</f>
        <v>217041965.88999999</v>
      </c>
      <c r="G28" s="74">
        <f>'Fluxo e Duração do Passivo'!M30</f>
        <v>17988180.2775</v>
      </c>
      <c r="H28" s="113">
        <f>'Fluxo e Duração do Passivo'!AO30</f>
        <v>0</v>
      </c>
      <c r="I28" s="113">
        <f>'Fluxo e Duração do Passivo'!AP30</f>
        <v>0</v>
      </c>
      <c r="J28" s="113">
        <f>'Fluxo e Duração do Passivo'!BK30</f>
        <v>-170978470.25</v>
      </c>
      <c r="K28" s="113">
        <f t="shared" si="0"/>
        <v>757602416.93176472</v>
      </c>
      <c r="L28" s="114">
        <f>'Fluxo e Duração do Passivo'!BO30</f>
        <v>2772272749.62959</v>
      </c>
    </row>
    <row r="29" spans="1:12" x14ac:dyDescent="0.2">
      <c r="A29" s="109">
        <f t="shared" si="3"/>
        <v>2044</v>
      </c>
      <c r="B29" s="110">
        <f t="shared" si="3"/>
        <v>21</v>
      </c>
      <c r="C29" s="74">
        <f>C28*(1+'01- Histórico'!$B$14)</f>
        <v>3842193511.0402722</v>
      </c>
      <c r="D29" s="74">
        <f t="shared" si="2"/>
        <v>580008481.73234999</v>
      </c>
      <c r="E29" s="74">
        <f>'Fluxo e Duração do Passivo'!E31</f>
        <v>159931190.66</v>
      </c>
      <c r="F29" s="74">
        <f>'Fluxo e Duração do Passivo'!AS31+'Fluxo e Duração do Passivo'!AZ31</f>
        <v>218220006.13999999</v>
      </c>
      <c r="G29" s="74">
        <f>'Fluxo e Duração do Passivo'!M31</f>
        <v>15639915.7125</v>
      </c>
      <c r="H29" s="113">
        <f>'Fluxo e Duração do Passivo'!AO31</f>
        <v>0</v>
      </c>
      <c r="I29" s="113">
        <f>'Fluxo e Duração do Passivo'!AP31</f>
        <v>0</v>
      </c>
      <c r="J29" s="113">
        <f>'Fluxo e Duração do Passivo'!BK31</f>
        <v>-176499913.46000001</v>
      </c>
      <c r="K29" s="113">
        <f t="shared" si="0"/>
        <v>772148310.90485001</v>
      </c>
      <c r="L29" s="114">
        <f>'Fluxo e Duração do Passivo'!BO31</f>
        <v>2731614200.9014401</v>
      </c>
    </row>
    <row r="30" spans="1:12" x14ac:dyDescent="0.2">
      <c r="A30" s="109">
        <f t="shared" si="3"/>
        <v>2045</v>
      </c>
      <c r="B30" s="110">
        <f t="shared" si="3"/>
        <v>22</v>
      </c>
      <c r="C30" s="74">
        <f>C29*(1+'01- Histórico'!$B$14)</f>
        <v>4139124095.347775</v>
      </c>
      <c r="D30" s="74">
        <f t="shared" si="2"/>
        <v>591608651.366997</v>
      </c>
      <c r="E30" s="74">
        <f>'Fluxo e Duração do Passivo'!E32</f>
        <v>166526678</v>
      </c>
      <c r="F30" s="74">
        <f>'Fluxo e Duração do Passivo'!AS32+'Fluxo e Duração do Passivo'!AZ32</f>
        <v>225802841.94999999</v>
      </c>
      <c r="G30" s="74">
        <f>'Fluxo e Duração do Passivo'!M32</f>
        <v>13804868.098130001</v>
      </c>
      <c r="H30" s="113">
        <f>'Fluxo e Duração do Passivo'!AO32</f>
        <v>0</v>
      </c>
      <c r="I30" s="113">
        <f>'Fluxo e Duração do Passivo'!AP32</f>
        <v>0</v>
      </c>
      <c r="J30" s="113">
        <f>'Fluxo e Duração do Passivo'!BK32</f>
        <v>-187028416.52998999</v>
      </c>
      <c r="K30" s="113">
        <f t="shared" si="0"/>
        <v>792441935.99511695</v>
      </c>
      <c r="L30" s="114">
        <f>'Fluxo e Duração do Passivo'!BO32</f>
        <v>2678434880.21562</v>
      </c>
    </row>
    <row r="31" spans="1:12" x14ac:dyDescent="0.2">
      <c r="A31" s="109">
        <f t="shared" si="3"/>
        <v>2046</v>
      </c>
      <c r="B31" s="110">
        <f t="shared" si="3"/>
        <v>23</v>
      </c>
      <c r="C31" s="74">
        <f>C30*(1+'01- Histórico'!$B$14)</f>
        <v>4459001928.8356876</v>
      </c>
      <c r="D31" s="74">
        <f t="shared" si="2"/>
        <v>603440824.39433694</v>
      </c>
      <c r="E31" s="74">
        <f>'Fluxo e Duração do Passivo'!E33</f>
        <v>172094410.07999998</v>
      </c>
      <c r="F31" s="74">
        <f>'Fluxo e Duração do Passivo'!AS33+'Fluxo e Duração do Passivo'!AZ33</f>
        <v>231451349.23999998</v>
      </c>
      <c r="G31" s="74">
        <f>'Fluxo e Duração do Passivo'!M33</f>
        <v>11562856.70063</v>
      </c>
      <c r="H31" s="113">
        <f>'Fluxo e Duração do Passivo'!AO33</f>
        <v>0</v>
      </c>
      <c r="I31" s="113">
        <f>'Fluxo e Duração do Passivo'!AP33</f>
        <v>0</v>
      </c>
      <c r="J31" s="113">
        <f>'Fluxo e Duração do Passivo'!BK33</f>
        <v>-196427904.95998999</v>
      </c>
      <c r="K31" s="113">
        <f t="shared" si="0"/>
        <v>811431586.05495691</v>
      </c>
      <c r="L31" s="114">
        <f>'Fluxo e Duração do Passivo'!BO33</f>
        <v>2613250284.3862</v>
      </c>
    </row>
    <row r="32" spans="1:12" x14ac:dyDescent="0.2">
      <c r="A32" s="109">
        <f t="shared" si="3"/>
        <v>2047</v>
      </c>
      <c r="B32" s="110">
        <f t="shared" si="3"/>
        <v>24</v>
      </c>
      <c r="C32" s="74">
        <f>C31*(1+'01- Histórico'!$B$14)</f>
        <v>4803600409.9775152</v>
      </c>
      <c r="D32" s="74">
        <f t="shared" si="2"/>
        <v>615509640.88222373</v>
      </c>
      <c r="E32" s="74">
        <f>'Fluxo e Duração do Passivo'!E34</f>
        <v>178488594.81999999</v>
      </c>
      <c r="F32" s="74">
        <f>'Fluxo e Duração do Passivo'!AS34+'Fluxo e Duração do Passivo'!AZ34</f>
        <v>237759979.75999999</v>
      </c>
      <c r="G32" s="74">
        <f>'Fluxo e Duração do Passivo'!M34</f>
        <v>9473421.6337499991</v>
      </c>
      <c r="H32" s="113">
        <f>'Fluxo e Duração do Passivo'!AO34</f>
        <v>0</v>
      </c>
      <c r="I32" s="113">
        <f>'Fluxo e Duração do Passivo'!AP34</f>
        <v>0</v>
      </c>
      <c r="J32" s="113">
        <f>'Fluxo e Duração do Passivo'!BK34</f>
        <v>-206174486.96000001</v>
      </c>
      <c r="K32" s="113">
        <f t="shared" si="0"/>
        <v>831157549.47597373</v>
      </c>
      <c r="L32" s="114">
        <f>'Fluxo e Duração do Passivo'!BO34</f>
        <v>2535125061.3611202</v>
      </c>
    </row>
    <row r="33" spans="1:12" x14ac:dyDescent="0.2">
      <c r="A33" s="109">
        <f t="shared" si="3"/>
        <v>2048</v>
      </c>
      <c r="B33" s="110">
        <f t="shared" si="3"/>
        <v>25</v>
      </c>
      <c r="C33" s="74">
        <f>C32*(1+'01- Histórico'!$B$14)</f>
        <v>5174829988.1900406</v>
      </c>
      <c r="D33" s="74">
        <f t="shared" si="2"/>
        <v>627819833.6998682</v>
      </c>
      <c r="E33" s="74">
        <f>'Fluxo e Duração do Passivo'!E35</f>
        <v>184711240.92999998</v>
      </c>
      <c r="F33" s="74">
        <f>'Fluxo e Duração do Passivo'!AS35+'Fluxo e Duração do Passivo'!AZ35</f>
        <v>237396687.22000003</v>
      </c>
      <c r="G33" s="74">
        <f>'Fluxo e Duração do Passivo'!M35</f>
        <v>7605522.1181300003</v>
      </c>
      <c r="H33" s="113">
        <f>'Fluxo e Duração do Passivo'!AO35</f>
        <v>0</v>
      </c>
      <c r="I33" s="113">
        <f>'Fluxo e Duração do Passivo'!AP35</f>
        <v>0</v>
      </c>
      <c r="J33" s="113">
        <f>'Fluxo e Duração do Passivo'!BK35</f>
        <v>-209316236.89998999</v>
      </c>
      <c r="K33" s="113">
        <f t="shared" si="0"/>
        <v>844741592.71798813</v>
      </c>
      <c r="L33" s="114">
        <f>'Fluxo e Duração do Passivo'!BO35</f>
        <v>2450029952.4678302</v>
      </c>
    </row>
    <row r="34" spans="1:12" x14ac:dyDescent="0.2">
      <c r="A34" s="109">
        <f t="shared" si="3"/>
        <v>2049</v>
      </c>
      <c r="B34" s="110">
        <f t="shared" si="3"/>
        <v>26</v>
      </c>
      <c r="C34" s="74">
        <f>C33*(1+'01- Histórico'!$B$14)</f>
        <v>5574748755.3395987</v>
      </c>
      <c r="D34" s="74">
        <f t="shared" si="2"/>
        <v>640376230.3738656</v>
      </c>
      <c r="E34" s="74">
        <f>'Fluxo e Duração do Passivo'!E36</f>
        <v>188341443.32999998</v>
      </c>
      <c r="F34" s="74">
        <f>'Fluxo e Duração do Passivo'!AS36+'Fluxo e Duração do Passivo'!AZ36</f>
        <v>227212264.24000001</v>
      </c>
      <c r="G34" s="74">
        <f>'Fluxo e Duração do Passivo'!M36</f>
        <v>6493543.32938</v>
      </c>
      <c r="H34" s="113">
        <f>'Fluxo e Duração do Passivo'!AO36</f>
        <v>0</v>
      </c>
      <c r="I34" s="113">
        <f>'Fluxo e Duração do Passivo'!AP36</f>
        <v>0</v>
      </c>
      <c r="J34" s="113">
        <f>'Fluxo e Duração do Passivo'!BK36</f>
        <v>-201995827.87999001</v>
      </c>
      <c r="K34" s="113">
        <f t="shared" si="0"/>
        <v>848865601.58323562</v>
      </c>
      <c r="L34" s="114">
        <f>'Fluxo e Duração do Passivo'!BO36</f>
        <v>2368085592.25876</v>
      </c>
    </row>
    <row r="35" spans="1:12" x14ac:dyDescent="0.2">
      <c r="A35" s="109">
        <f t="shared" si="3"/>
        <v>2050</v>
      </c>
      <c r="B35" s="110">
        <f>B34+1</f>
        <v>27</v>
      </c>
      <c r="C35" s="74">
        <f>C34*(1+'01- Histórico'!$B$14)</f>
        <v>6005573855.7761288</v>
      </c>
      <c r="D35" s="74">
        <f t="shared" si="2"/>
        <v>653183754.98134291</v>
      </c>
      <c r="E35" s="74">
        <f>'Fluxo e Duração do Passivo'!E37</f>
        <v>194333991.12</v>
      </c>
      <c r="F35" s="74">
        <f>'Fluxo e Duração do Passivo'!AS37+'Fluxo e Duração do Passivo'!AZ37</f>
        <v>231894192.5</v>
      </c>
      <c r="G35" s="74">
        <f>'Fluxo e Duração do Passivo'!M37</f>
        <v>5470706.1150000002</v>
      </c>
      <c r="H35" s="113">
        <f>'Fluxo e Duração do Passivo'!AO37</f>
        <v>0</v>
      </c>
      <c r="I35" s="113">
        <f>'Fluxo e Duração do Passivo'!AP37</f>
        <v>0</v>
      </c>
      <c r="J35" s="113">
        <f>'Fluxo e Duração do Passivo'!BK37</f>
        <v>-208218022.61000001</v>
      </c>
      <c r="K35" s="113">
        <f t="shared" si="0"/>
        <v>866872483.70634294</v>
      </c>
      <c r="L35" s="114">
        <f>'Fluxo e Duração do Passivo'!BO37</f>
        <v>2275903763.6694398</v>
      </c>
    </row>
    <row r="36" spans="1:12" x14ac:dyDescent="0.2">
      <c r="A36" s="109">
        <f t="shared" si="3"/>
        <v>2051</v>
      </c>
      <c r="B36" s="110">
        <f t="shared" si="3"/>
        <v>28</v>
      </c>
      <c r="C36" s="74">
        <f>C35*(1+'01- Histórico'!$B$14)</f>
        <v>6469693778.1520987</v>
      </c>
      <c r="D36" s="74">
        <f t="shared" si="2"/>
        <v>666247430.08096981</v>
      </c>
      <c r="E36" s="74">
        <f>'Fluxo e Duração do Passivo'!E38</f>
        <v>200178267.97</v>
      </c>
      <c r="F36" s="74">
        <f>'Fluxo e Duração do Passivo'!AS38+'Fluxo e Duração do Passivo'!AZ38</f>
        <v>233789254.45000002</v>
      </c>
      <c r="G36" s="74">
        <f>'Fluxo e Duração do Passivo'!M38</f>
        <v>4498745.2481300002</v>
      </c>
      <c r="H36" s="113">
        <f>'Fluxo e Duração do Passivo'!AO38</f>
        <v>0</v>
      </c>
      <c r="I36" s="113">
        <f>'Fluxo e Duração do Passivo'!AP38</f>
        <v>0</v>
      </c>
      <c r="J36" s="113">
        <f>'Fluxo e Duração do Passivo'!BK38</f>
        <v>-211812840.48999</v>
      </c>
      <c r="K36" s="113">
        <f t="shared" si="0"/>
        <v>882559015.81908977</v>
      </c>
      <c r="L36" s="114">
        <f>'Fluxo e Duração do Passivo'!BO38</f>
        <v>2175610207.5992498</v>
      </c>
    </row>
    <row r="37" spans="1:12" x14ac:dyDescent="0.2">
      <c r="A37" s="109">
        <f t="shared" si="3"/>
        <v>2052</v>
      </c>
      <c r="B37" s="110">
        <f t="shared" si="3"/>
        <v>29</v>
      </c>
      <c r="C37" s="74">
        <f>C36*(1+'01- Histórico'!$B$14)</f>
        <v>6969681597.1719675</v>
      </c>
      <c r="D37" s="74">
        <f t="shared" si="2"/>
        <v>679572378.68258917</v>
      </c>
      <c r="E37" s="74">
        <f>'Fluxo e Duração do Passivo'!E39</f>
        <v>205313132.82999998</v>
      </c>
      <c r="F37" s="74">
        <f>'Fluxo e Duração do Passivo'!AS39+'Fluxo e Duração do Passivo'!AZ39</f>
        <v>237947137.06</v>
      </c>
      <c r="G37" s="74">
        <f>'Fluxo e Duração do Passivo'!M39</f>
        <v>3511858.1793800001</v>
      </c>
      <c r="H37" s="113">
        <f>'Fluxo e Duração do Passivo'!AO39</f>
        <v>0</v>
      </c>
      <c r="I37" s="113">
        <f>'Fluxo e Duração do Passivo'!AP39</f>
        <v>0</v>
      </c>
      <c r="J37" s="113">
        <f>'Fluxo e Duração do Passivo'!BK39</f>
        <v>-217473461.80998999</v>
      </c>
      <c r="K37" s="113">
        <f t="shared" si="0"/>
        <v>900557698.67195916</v>
      </c>
      <c r="L37" s="114">
        <f>'Fluxo e Duração do Passivo'!BO39</f>
        <v>2064741645.9616201</v>
      </c>
    </row>
    <row r="38" spans="1:12" x14ac:dyDescent="0.2">
      <c r="A38" s="109">
        <f t="shared" si="3"/>
        <v>2053</v>
      </c>
      <c r="B38" s="110">
        <f t="shared" si="3"/>
        <v>30</v>
      </c>
      <c r="C38" s="74">
        <f>C37*(1+'01- Histórico'!$B$14)</f>
        <v>7508309238.6842766</v>
      </c>
      <c r="D38" s="74">
        <f t="shared" si="2"/>
        <v>693163826.25624096</v>
      </c>
      <c r="E38" s="74">
        <f>'Fluxo e Duração do Passivo'!E40</f>
        <v>206530979.10999998</v>
      </c>
      <c r="F38" s="74">
        <f>'Fluxo e Duração do Passivo'!AS40+'Fluxo e Duração do Passivo'!AZ40</f>
        <v>234874771.20999998</v>
      </c>
      <c r="G38" s="74">
        <f>'Fluxo e Duração do Passivo'!M40</f>
        <v>2282084.0099999998</v>
      </c>
      <c r="H38" s="113">
        <f>'Fluxo e Duração do Passivo'!AO40</f>
        <v>0</v>
      </c>
      <c r="I38" s="113">
        <f>'Fluxo e Duração do Passivo'!AP40</f>
        <v>0</v>
      </c>
      <c r="J38" s="113">
        <f>'Fluxo e Duração do Passivo'!BK40</f>
        <v>-216768244.80000001</v>
      </c>
      <c r="K38" s="113">
        <f t="shared" si="0"/>
        <v>912214155.06624103</v>
      </c>
      <c r="L38" s="114">
        <f>'Fluxo e Duração do Passivo'!BO40</f>
        <v>1949145741.81374</v>
      </c>
    </row>
    <row r="39" spans="1:12" x14ac:dyDescent="0.2">
      <c r="A39" s="109">
        <f t="shared" si="3"/>
        <v>2054</v>
      </c>
      <c r="B39" s="110">
        <f t="shared" si="3"/>
        <v>31</v>
      </c>
      <c r="C39" s="74">
        <f>C38*(1+'01- Histórico'!$B$14)</f>
        <v>8088562847.2018557</v>
      </c>
      <c r="D39" s="74">
        <f t="shared" si="2"/>
        <v>707027102.78136575</v>
      </c>
      <c r="E39" s="74">
        <f>'Fluxo e Duração do Passivo'!E41</f>
        <v>207988130.31999999</v>
      </c>
      <c r="F39" s="74">
        <f>'Fluxo e Duração do Passivo'!AS41+'Fluxo e Duração do Passivo'!AZ41</f>
        <v>227501100.24000001</v>
      </c>
      <c r="G39" s="74">
        <f>'Fluxo e Duração do Passivo'!M41</f>
        <v>1532674.54688</v>
      </c>
      <c r="H39" s="113">
        <f>'Fluxo e Duração do Passivo'!AO41</f>
        <v>0</v>
      </c>
      <c r="I39" s="113">
        <f>'Fluxo e Duração do Passivo'!AP41</f>
        <v>0</v>
      </c>
      <c r="J39" s="113">
        <f>'Fluxo e Duração do Passivo'!BK41</f>
        <v>-211167166.24998999</v>
      </c>
      <c r="K39" s="113">
        <f t="shared" si="0"/>
        <v>919726943.57823575</v>
      </c>
      <c r="L39" s="114">
        <f>'Fluxo e Duração do Passivo'!BO41</f>
        <v>1833486716.9126201</v>
      </c>
    </row>
    <row r="40" spans="1:12" x14ac:dyDescent="0.2">
      <c r="A40" s="109">
        <f t="shared" si="3"/>
        <v>2055</v>
      </c>
      <c r="B40" s="110">
        <f t="shared" si="3"/>
        <v>32</v>
      </c>
      <c r="C40" s="74">
        <f>C39*(1+'01- Histórico'!$B$14)</f>
        <v>8713659341.0474586</v>
      </c>
      <c r="D40" s="74">
        <f t="shared" si="2"/>
        <v>721167644.8369931</v>
      </c>
      <c r="E40" s="74">
        <f>'Fluxo e Duração do Passivo'!E42</f>
        <v>210570147.98999998</v>
      </c>
      <c r="F40" s="74">
        <f>'Fluxo e Duração do Passivo'!AS42+'Fluxo e Duração do Passivo'!AZ42</f>
        <v>224946234.09</v>
      </c>
      <c r="G40" s="74">
        <f>'Fluxo e Duração do Passivo'!M42</f>
        <v>1101632.0006299999</v>
      </c>
      <c r="H40" s="113">
        <f>'Fluxo e Duração do Passivo'!AO42</f>
        <v>0</v>
      </c>
      <c r="I40" s="113">
        <f>'Fluxo e Duração do Passivo'!AP42</f>
        <v>0</v>
      </c>
      <c r="J40" s="113">
        <f>'Fluxo e Duração do Passivo'!BK42</f>
        <v>-209530837.26999</v>
      </c>
      <c r="K40" s="113">
        <f t="shared" si="0"/>
        <v>931800114.10761309</v>
      </c>
      <c r="L40" s="114">
        <f>'Fluxo e Duração do Passivo'!BO42</f>
        <v>1713796728.7713499</v>
      </c>
    </row>
    <row r="41" spans="1:12" x14ac:dyDescent="0.2">
      <c r="A41" s="109">
        <f t="shared" si="3"/>
        <v>2056</v>
      </c>
      <c r="B41" s="110">
        <f t="shared" si="3"/>
        <v>33</v>
      </c>
      <c r="C41" s="74">
        <f>C40*(1+'01- Histórico'!$B$14)</f>
        <v>9387064246.9063587</v>
      </c>
      <c r="D41" s="74">
        <f t="shared" si="2"/>
        <v>735590997.73373294</v>
      </c>
      <c r="E41" s="74">
        <f>'Fluxo e Duração do Passivo'!E43</f>
        <v>211754112.95999998</v>
      </c>
      <c r="F41" s="74">
        <f>'Fluxo e Duração do Passivo'!AS43+'Fluxo e Duração do Passivo'!AZ43</f>
        <v>222395389.85999998</v>
      </c>
      <c r="G41" s="74">
        <f>'Fluxo e Duração do Passivo'!M43</f>
        <v>895014.58499999996</v>
      </c>
      <c r="H41" s="113">
        <f>'Fluxo e Duração do Passivo'!AO43</f>
        <v>0</v>
      </c>
      <c r="I41" s="113">
        <f>'Fluxo e Duração do Passivo'!AP43</f>
        <v>0</v>
      </c>
      <c r="J41" s="113">
        <f>'Fluxo e Duração do Passivo'!BK43</f>
        <v>-207500420.77000001</v>
      </c>
      <c r="K41" s="113">
        <f t="shared" si="0"/>
        <v>943986433.08873296</v>
      </c>
      <c r="L41" s="114">
        <f>'Fluxo e Duração do Passivo'!BO43</f>
        <v>1590272347.7111499</v>
      </c>
    </row>
    <row r="42" spans="1:12" x14ac:dyDescent="0.2">
      <c r="A42" s="109">
        <f>A41+1</f>
        <v>2057</v>
      </c>
      <c r="B42" s="110">
        <f>B41+1</f>
        <v>34</v>
      </c>
      <c r="C42" s="74">
        <f>C41*(1+'01- Histórico'!$B$14)</f>
        <v>10112510912.660398</v>
      </c>
      <c r="D42" s="74">
        <f t="shared" si="2"/>
        <v>750302817.68840766</v>
      </c>
      <c r="E42" s="74">
        <f>'Fluxo e Duração do Passivo'!E44</f>
        <v>210833830.63</v>
      </c>
      <c r="F42" s="74">
        <f>'Fluxo e Duração do Passivo'!AS44+'Fluxo e Duração do Passivo'!AZ44</f>
        <v>219152075.58000001</v>
      </c>
      <c r="G42" s="74">
        <f>'Fluxo e Duração do Passivo'!M44</f>
        <v>508919.25938</v>
      </c>
      <c r="H42" s="113">
        <f>'Fluxo e Duração do Passivo'!AO44</f>
        <v>0</v>
      </c>
      <c r="I42" s="113">
        <f>'Fluxo e Duração do Passivo'!AP44</f>
        <v>0</v>
      </c>
      <c r="J42" s="113">
        <f>'Fluxo e Duração do Passivo'!BK44</f>
        <v>-205137023.40999001</v>
      </c>
      <c r="K42" s="113">
        <f t="shared" si="0"/>
        <v>955948760.3577776</v>
      </c>
      <c r="L42" s="114">
        <f>'Fluxo e Duração do Passivo'!BO44</f>
        <v>1463058669.33901</v>
      </c>
    </row>
    <row r="43" spans="1:12" ht="13.5" thickBot="1" x14ac:dyDescent="0.25">
      <c r="A43" s="111">
        <f>A42+1</f>
        <v>2058</v>
      </c>
      <c r="B43" s="112">
        <f>B42+1</f>
        <v>35</v>
      </c>
      <c r="C43" s="74">
        <f>C42*(1+'01- Histórico'!$B$14)</f>
        <v>10894021205.01922</v>
      </c>
      <c r="D43" s="74">
        <f t="shared" si="2"/>
        <v>765308874.04217577</v>
      </c>
      <c r="E43" s="74">
        <f>'Fluxo e Duração do Passivo'!E45</f>
        <v>211864285.28</v>
      </c>
      <c r="F43" s="74">
        <f>'Fluxo e Duração do Passivo'!AS45+'Fluxo e Duração do Passivo'!AZ45</f>
        <v>215373721.55000001</v>
      </c>
      <c r="G43" s="74">
        <f>'Fluxo e Duração do Passivo'!M45</f>
        <v>202109.63063</v>
      </c>
      <c r="H43" s="113">
        <f>'Fluxo e Duração do Passivo'!AO45</f>
        <v>0</v>
      </c>
      <c r="I43" s="113">
        <f>'Fluxo e Duração do Passivo'!AP45</f>
        <v>0</v>
      </c>
      <c r="J43" s="113">
        <f>'Fluxo e Duração do Passivo'!BK45</f>
        <v>-202126756.87999001</v>
      </c>
      <c r="K43" s="113">
        <f t="shared" si="0"/>
        <v>967637740.55279577</v>
      </c>
      <c r="L43" s="114">
        <f>'Fluxo e Duração do Passivo'!BO45</f>
        <v>1332621787.2566299</v>
      </c>
    </row>
    <row r="44" spans="1:12" x14ac:dyDescent="0.2"/>
    <row r="45" spans="1:12" x14ac:dyDescent="0.2"/>
    <row r="81" spans="3:13" s="65" customFormat="1" hidden="1" x14ac:dyDescent="0.2">
      <c r="C81" s="53"/>
      <c r="M81" s="70"/>
    </row>
  </sheetData>
  <sheetProtection algorithmName="SHA-512" hashValue="OOVKRiSccah4xGVf/AlUpQfXaX0CR3DjBg6USKXL5qQqcrXHZbwOajsLpLsn+0ZoWwrqcFmmVe6ElAnxCgVuvw==" saltValue="ebVX7khu8YO6teMa93yebg==" spinCount="100000" sheet="1" objects="1" scenarios="1"/>
  <mergeCells count="1">
    <mergeCell ref="A5:F5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51" fitToHeight="2" orientation="landscape" verticalDpi="300" r:id="rId1"/>
  <headerFooter alignWithMargins="0"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1"/>
  <sheetViews>
    <sheetView zoomScaleNormal="100" workbookViewId="0">
      <pane ySplit="8" topLeftCell="A9" activePane="bottomLeft" state="frozen"/>
      <selection pane="bottomLeft" activeCell="C11" sqref="C11"/>
    </sheetView>
  </sheetViews>
  <sheetFormatPr defaultColWidth="0" defaultRowHeight="16.5" zeroHeight="1" x14ac:dyDescent="0.2"/>
  <cols>
    <col min="1" max="1" width="7" style="44" customWidth="1"/>
    <col min="2" max="2" width="7.42578125" style="44" customWidth="1"/>
    <col min="3" max="4" width="21.140625" style="44" customWidth="1"/>
    <col min="5" max="5" width="20.5703125" style="44" customWidth="1"/>
    <col min="6" max="6" width="19" style="44" customWidth="1"/>
    <col min="7" max="9" width="0" style="44" hidden="1" customWidth="1"/>
    <col min="10" max="16384" width="19" style="44" hidden="1"/>
  </cols>
  <sheetData>
    <row r="1" spans="1:9" s="126" customFormat="1" ht="15.75" x14ac:dyDescent="0.25">
      <c r="A1" s="134" t="s">
        <v>132</v>
      </c>
      <c r="B1" s="134"/>
      <c r="C1" s="125"/>
      <c r="D1" s="125"/>
      <c r="E1" s="125"/>
    </row>
    <row r="2" spans="1:9" s="126" customFormat="1" x14ac:dyDescent="0.2">
      <c r="A2" s="135"/>
      <c r="B2" s="135"/>
      <c r="C2" s="44"/>
      <c r="D2" s="44"/>
    </row>
    <row r="3" spans="1:9" s="127" customFormat="1" ht="17.25" thickBot="1" x14ac:dyDescent="0.3">
      <c r="A3" s="228" t="s">
        <v>118</v>
      </c>
      <c r="B3" s="229"/>
      <c r="C3" s="127" t="str">
        <f>'01- Histórico'!C3</f>
        <v>Toledo</v>
      </c>
      <c r="E3" s="45"/>
    </row>
    <row r="4" spans="1:9" s="128" customFormat="1" ht="26.25" customHeight="1" x14ac:dyDescent="0.2">
      <c r="A4" s="226" t="s">
        <v>104</v>
      </c>
      <c r="B4" s="227"/>
      <c r="C4" s="204">
        <f>'01- Histórico'!C4</f>
        <v>2024</v>
      </c>
      <c r="E4" s="126"/>
      <c r="F4" s="46"/>
      <c r="G4" s="46"/>
      <c r="I4" s="46"/>
    </row>
    <row r="5" spans="1:9" s="128" customFormat="1" ht="12.75" x14ac:dyDescent="0.2">
      <c r="A5" s="143" t="s">
        <v>105</v>
      </c>
      <c r="B5" s="141"/>
      <c r="C5" s="205">
        <f>'01- Histórico'!C5</f>
        <v>45291</v>
      </c>
      <c r="E5" s="126"/>
      <c r="F5" s="46"/>
      <c r="G5" s="46"/>
      <c r="I5" s="46"/>
    </row>
    <row r="6" spans="1:9" s="128" customFormat="1" ht="12.75" x14ac:dyDescent="0.2">
      <c r="A6" s="144" t="s">
        <v>106</v>
      </c>
      <c r="B6" s="142"/>
      <c r="C6" s="206">
        <f>'01- Histórico'!C6</f>
        <v>45350</v>
      </c>
      <c r="E6" s="126"/>
      <c r="F6" s="46"/>
      <c r="G6" s="46"/>
      <c r="I6" s="46"/>
    </row>
    <row r="7" spans="1:9" ht="17.25" thickBot="1" x14ac:dyDescent="0.25"/>
    <row r="8" spans="1:9" s="47" customFormat="1" ht="66.75" thickBot="1" x14ac:dyDescent="0.25">
      <c r="A8" s="129" t="s">
        <v>112</v>
      </c>
      <c r="B8" s="130" t="s">
        <v>120</v>
      </c>
      <c r="C8" s="131" t="s">
        <v>128</v>
      </c>
      <c r="D8" s="132" t="s">
        <v>129</v>
      </c>
      <c r="E8" s="133" t="s">
        <v>130</v>
      </c>
    </row>
    <row r="9" spans="1:9" x14ac:dyDescent="0.2">
      <c r="A9" s="121">
        <f>'01- Histórico'!A28</f>
        <v>2023</v>
      </c>
      <c r="B9" s="122">
        <v>0</v>
      </c>
      <c r="C9" s="123">
        <f>'02 - Projeções'!K8/'02 - Projeções'!C8</f>
        <v>0.57620005198560298</v>
      </c>
      <c r="D9" s="123">
        <f>C9/(0.54*0.95)-1</f>
        <v>0.12319698242807586</v>
      </c>
      <c r="E9" s="124"/>
    </row>
    <row r="10" spans="1:9" x14ac:dyDescent="0.2">
      <c r="A10" s="48">
        <f>A9+1</f>
        <v>2024</v>
      </c>
      <c r="B10" s="115">
        <f>B9+1</f>
        <v>1</v>
      </c>
      <c r="C10" s="116">
        <f>'02 - Projeções'!K9/'02 - Projeções'!C9</f>
        <v>0.55945397394623531</v>
      </c>
      <c r="D10" s="116">
        <f t="shared" ref="D10:D44" si="0">C10/(0.54*0.95)-1</f>
        <v>9.0553555450751055E-2</v>
      </c>
      <c r="E10" s="49">
        <f>('02 - Projeções'!L9-'02 - Projeções'!L8)/'02 - Projeções'!L8</f>
        <v>0.12355796880691394</v>
      </c>
    </row>
    <row r="11" spans="1:9" x14ac:dyDescent="0.2">
      <c r="A11" s="48">
        <f t="shared" ref="A11:B26" si="1">A10+1</f>
        <v>2025</v>
      </c>
      <c r="B11" s="115">
        <f t="shared" si="1"/>
        <v>2</v>
      </c>
      <c r="C11" s="116">
        <f>'02 - Projeções'!K10/'02 - Projeções'!C10</f>
        <v>0.53298999261284941</v>
      </c>
      <c r="D11" s="116">
        <f t="shared" si="0"/>
        <v>3.8966847198536936E-2</v>
      </c>
      <c r="E11" s="49">
        <f>('02 - Projeções'!L10-'02 - Projeções'!L9)/'02 - Projeções'!L9</f>
        <v>0.11516632397586672</v>
      </c>
    </row>
    <row r="12" spans="1:9" x14ac:dyDescent="0.2">
      <c r="A12" s="48">
        <f t="shared" si="1"/>
        <v>2026</v>
      </c>
      <c r="B12" s="115">
        <f t="shared" si="1"/>
        <v>3</v>
      </c>
      <c r="C12" s="116">
        <f>'02 - Projeções'!K11/'02 - Projeções'!C11</f>
        <v>0.51236998401652945</v>
      </c>
      <c r="D12" s="116">
        <f t="shared" si="0"/>
        <v>-1.2281013323013346E-3</v>
      </c>
      <c r="E12" s="49">
        <f>('02 - Projeções'!L11-'02 - Projeções'!L10)/'02 - Projeções'!L10</f>
        <v>0.11471366751853211</v>
      </c>
    </row>
    <row r="13" spans="1:9" x14ac:dyDescent="0.2">
      <c r="A13" s="48">
        <f t="shared" si="1"/>
        <v>2027</v>
      </c>
      <c r="B13" s="115">
        <f t="shared" si="1"/>
        <v>4</v>
      </c>
      <c r="C13" s="116">
        <f>'02 - Projeções'!K12/'02 - Projeções'!C12</f>
        <v>0.49259301275724582</v>
      </c>
      <c r="D13" s="116">
        <f t="shared" si="0"/>
        <v>-3.9779702227590974E-2</v>
      </c>
      <c r="E13" s="49">
        <f>('02 - Projeções'!L12-'02 - Projeções'!L11)/'02 - Projeções'!L11</f>
        <v>0.1142357345585709</v>
      </c>
    </row>
    <row r="14" spans="1:9" x14ac:dyDescent="0.2">
      <c r="A14" s="48">
        <f t="shared" si="1"/>
        <v>2028</v>
      </c>
      <c r="B14" s="115">
        <f t="shared" si="1"/>
        <v>5</v>
      </c>
      <c r="C14" s="116">
        <f>'02 - Projeções'!K13/'02 - Projeções'!C13</f>
        <v>0.47363279542956899</v>
      </c>
      <c r="D14" s="116">
        <f t="shared" si="0"/>
        <v>-7.6739190195772022E-2</v>
      </c>
      <c r="E14" s="49">
        <f>('02 - Projeções'!L13-'02 - Projeções'!L12)/'02 - Projeções'!L12</f>
        <v>0.11357026357721492</v>
      </c>
    </row>
    <row r="15" spans="1:9" x14ac:dyDescent="0.2">
      <c r="A15" s="48">
        <f t="shared" si="1"/>
        <v>2029</v>
      </c>
      <c r="B15" s="115">
        <f t="shared" si="1"/>
        <v>6</v>
      </c>
      <c r="C15" s="116">
        <f>'02 - Projeções'!K14/'02 - Projeções'!C14</f>
        <v>0.45630131848713884</v>
      </c>
      <c r="D15" s="116">
        <f t="shared" si="0"/>
        <v>-0.11052374563910561</v>
      </c>
      <c r="E15" s="49">
        <f>('02 - Projeções'!L14-'02 - Projeções'!L13)/'02 - Projeções'!L13</f>
        <v>0.11338102267898201</v>
      </c>
    </row>
    <row r="16" spans="1:9" x14ac:dyDescent="0.2">
      <c r="A16" s="48">
        <f t="shared" si="1"/>
        <v>2030</v>
      </c>
      <c r="B16" s="115">
        <f t="shared" si="1"/>
        <v>7</v>
      </c>
      <c r="C16" s="116">
        <f>'02 - Projeções'!K15/'02 - Projeções'!C15</f>
        <v>0.43825172296364845</v>
      </c>
      <c r="D16" s="116">
        <f t="shared" si="0"/>
        <v>-0.14570814237105567</v>
      </c>
      <c r="E16" s="49">
        <f>('02 - Projeções'!L15-'02 - Projeções'!L14)/'02 - Projeções'!L14</f>
        <v>0.10978892558748449</v>
      </c>
    </row>
    <row r="17" spans="1:5" x14ac:dyDescent="0.2">
      <c r="A17" s="48">
        <f t="shared" si="1"/>
        <v>2031</v>
      </c>
      <c r="B17" s="115">
        <f t="shared" si="1"/>
        <v>8</v>
      </c>
      <c r="C17" s="116">
        <f>'02 - Projeções'!K16/'02 - Projeções'!C16</f>
        <v>0.4204347774149042</v>
      </c>
      <c r="D17" s="116">
        <f t="shared" si="0"/>
        <v>-0.18043903038030373</v>
      </c>
      <c r="E17" s="49">
        <f>('02 - Projeções'!L16-'02 - Projeções'!L15)/'02 - Projeções'!L15</f>
        <v>0.10654001863155149</v>
      </c>
    </row>
    <row r="18" spans="1:5" x14ac:dyDescent="0.2">
      <c r="A18" s="48">
        <f t="shared" si="1"/>
        <v>2032</v>
      </c>
      <c r="B18" s="115">
        <f t="shared" si="1"/>
        <v>9</v>
      </c>
      <c r="C18" s="116">
        <f>'02 - Projeções'!K17/'02 - Projeções'!C17</f>
        <v>0.40367899058244344</v>
      </c>
      <c r="D18" s="116">
        <f t="shared" si="0"/>
        <v>-0.21310138288022717</v>
      </c>
      <c r="E18" s="49">
        <f>('02 - Projeções'!L17-'02 - Projeções'!L16)/'02 - Projeções'!L16</f>
        <v>0.10460866160301596</v>
      </c>
    </row>
    <row r="19" spans="1:5" x14ac:dyDescent="0.2">
      <c r="A19" s="48">
        <f t="shared" si="1"/>
        <v>2033</v>
      </c>
      <c r="B19" s="115">
        <f t="shared" si="1"/>
        <v>10</v>
      </c>
      <c r="C19" s="116">
        <f>'02 - Projeções'!K18/'02 - Projeções'!C18</f>
        <v>0.38745013464573674</v>
      </c>
      <c r="D19" s="116">
        <f t="shared" si="0"/>
        <v>-0.24473657963794004</v>
      </c>
      <c r="E19" s="49">
        <f>('02 - Projeções'!L18-'02 - Projeções'!L17)/'02 - Projeções'!L17</f>
        <v>0.10165836721067062</v>
      </c>
    </row>
    <row r="20" spans="1:5" x14ac:dyDescent="0.2">
      <c r="A20" s="48">
        <f t="shared" si="1"/>
        <v>2034</v>
      </c>
      <c r="B20" s="115">
        <f t="shared" si="1"/>
        <v>11</v>
      </c>
      <c r="C20" s="116">
        <f>'02 - Projeções'!K19/'02 - Projeções'!C19</f>
        <v>0.37179387643890188</v>
      </c>
      <c r="D20" s="116">
        <f t="shared" si="0"/>
        <v>-0.27525560148362205</v>
      </c>
      <c r="E20" s="49">
        <f>('02 - Projeções'!L19-'02 - Projeções'!L18)/'02 - Projeções'!L18</f>
        <v>0.10070379387677549</v>
      </c>
    </row>
    <row r="21" spans="1:5" x14ac:dyDescent="0.2">
      <c r="A21" s="48">
        <f t="shared" si="1"/>
        <v>2035</v>
      </c>
      <c r="B21" s="115">
        <f t="shared" si="1"/>
        <v>12</v>
      </c>
      <c r="C21" s="116">
        <f>'02 - Projeções'!K20/'02 - Projeções'!C20</f>
        <v>0.35676930264544665</v>
      </c>
      <c r="D21" s="116">
        <f t="shared" si="0"/>
        <v>-0.30454326969698509</v>
      </c>
      <c r="E21" s="49">
        <f>('02 - Projeções'!L20-'02 - Projeções'!L19)/'02 - Projeções'!L19</f>
        <v>9.8833845837545217E-2</v>
      </c>
    </row>
    <row r="22" spans="1:5" x14ac:dyDescent="0.2">
      <c r="A22" s="48">
        <f t="shared" si="1"/>
        <v>2036</v>
      </c>
      <c r="B22" s="115">
        <f t="shared" si="1"/>
        <v>13</v>
      </c>
      <c r="C22" s="116">
        <f>'02 - Projeções'!K21/'02 - Projeções'!C21</f>
        <v>0.34215393091350954</v>
      </c>
      <c r="D22" s="116">
        <f t="shared" si="0"/>
        <v>-0.33303327307308084</v>
      </c>
      <c r="E22" s="49">
        <f>('02 - Projeções'!L21-'02 - Projeções'!L20)/'02 - Projeções'!L20</f>
        <v>9.7983463896005277E-2</v>
      </c>
    </row>
    <row r="23" spans="1:5" x14ac:dyDescent="0.2">
      <c r="A23" s="48">
        <f t="shared" si="1"/>
        <v>2037</v>
      </c>
      <c r="B23" s="115">
        <f t="shared" si="1"/>
        <v>14</v>
      </c>
      <c r="C23" s="116">
        <f>'02 - Projeções'!K22/'02 - Projeções'!C22</f>
        <v>0.32845998588680281</v>
      </c>
      <c r="D23" s="116">
        <f t="shared" si="0"/>
        <v>-0.35972712302767484</v>
      </c>
      <c r="E23" s="49">
        <f>('02 - Projeções'!L22-'02 - Projeções'!L21)/'02 - Projeções'!L21</f>
        <v>9.5115267582410248E-2</v>
      </c>
    </row>
    <row r="24" spans="1:5" x14ac:dyDescent="0.2">
      <c r="A24" s="48">
        <f t="shared" si="1"/>
        <v>2038</v>
      </c>
      <c r="B24" s="115">
        <f t="shared" si="1"/>
        <v>15</v>
      </c>
      <c r="C24" s="116">
        <f>'02 - Projeções'!K23/'02 - Projeções'!C23</f>
        <v>0.31506620713474892</v>
      </c>
      <c r="D24" s="116">
        <f t="shared" si="0"/>
        <v>-0.38583585353850114</v>
      </c>
      <c r="E24" s="49">
        <f>('02 - Projeções'!L23-'02 - Projeções'!L22)/'02 - Projeções'!L22</f>
        <v>9.3961661451166634E-2</v>
      </c>
    </row>
    <row r="25" spans="1:5" x14ac:dyDescent="0.2">
      <c r="A25" s="48">
        <f t="shared" si="1"/>
        <v>2039</v>
      </c>
      <c r="B25" s="115">
        <f t="shared" si="1"/>
        <v>16</v>
      </c>
      <c r="C25" s="116">
        <f>'02 - Projeções'!K24/'02 - Projeções'!C24</f>
        <v>0.25664722602845108</v>
      </c>
      <c r="D25" s="116">
        <f t="shared" si="0"/>
        <v>-0.49971300969112853</v>
      </c>
      <c r="E25" s="49">
        <f>('02 - Projeções'!L24-'02 - Projeções'!L23)/'02 - Projeções'!L23</f>
        <v>3.4136109461489752E-3</v>
      </c>
    </row>
    <row r="26" spans="1:5" x14ac:dyDescent="0.2">
      <c r="A26" s="48">
        <f t="shared" si="1"/>
        <v>2040</v>
      </c>
      <c r="B26" s="115">
        <f t="shared" si="1"/>
        <v>17</v>
      </c>
      <c r="C26" s="116">
        <f>'02 - Projeções'!K25/'02 - Projeções'!C25</f>
        <v>0.24539010909774417</v>
      </c>
      <c r="D26" s="116">
        <f t="shared" si="0"/>
        <v>-0.52165670741180481</v>
      </c>
      <c r="E26" s="49">
        <f>('02 - Projeções'!L25-'02 - Projeções'!L24)/'02 - Projeções'!L24</f>
        <v>-5.5496414093344441E-4</v>
      </c>
    </row>
    <row r="27" spans="1:5" x14ac:dyDescent="0.2">
      <c r="A27" s="48">
        <f t="shared" ref="A27:B42" si="2">A26+1</f>
        <v>2041</v>
      </c>
      <c r="B27" s="115">
        <f t="shared" si="2"/>
        <v>18</v>
      </c>
      <c r="C27" s="116">
        <f>'02 - Projeções'!K26/'02 - Projeções'!C26</f>
        <v>0.23313874542763616</v>
      </c>
      <c r="D27" s="116">
        <f t="shared" si="0"/>
        <v>-0.54553850793833103</v>
      </c>
      <c r="E27" s="49">
        <f>('02 - Projeções'!L26-'02 - Projeções'!L25)/'02 - Projeções'!L25</f>
        <v>-3.1848434818221149E-3</v>
      </c>
    </row>
    <row r="28" spans="1:5" x14ac:dyDescent="0.2">
      <c r="A28" s="48">
        <f t="shared" si="2"/>
        <v>2042</v>
      </c>
      <c r="B28" s="115">
        <f t="shared" si="2"/>
        <v>19</v>
      </c>
      <c r="C28" s="116">
        <f>'02 - Projeções'!K27/'02 - Projeções'!C27</f>
        <v>0.22318804039307311</v>
      </c>
      <c r="D28" s="116">
        <f t="shared" si="0"/>
        <v>-0.56493559377568592</v>
      </c>
      <c r="E28" s="49">
        <f>('02 - Projeções'!L27-'02 - Projeções'!L26)/'02 - Projeções'!L26</f>
        <v>-7.9567666065936977E-3</v>
      </c>
    </row>
    <row r="29" spans="1:5" x14ac:dyDescent="0.2">
      <c r="A29" s="48">
        <f t="shared" si="2"/>
        <v>2043</v>
      </c>
      <c r="B29" s="115">
        <f t="shared" si="2"/>
        <v>20</v>
      </c>
      <c r="C29" s="116">
        <f>'02 - Projeções'!K28/'02 - Projeções'!C28</f>
        <v>0.21241800725736798</v>
      </c>
      <c r="D29" s="116">
        <f t="shared" si="0"/>
        <v>-0.58592981041448744</v>
      </c>
      <c r="E29" s="49">
        <f>('02 - Projeções'!L28-'02 - Projeções'!L27)/'02 - Projeções'!L27</f>
        <v>-1.1938194497577296E-2</v>
      </c>
    </row>
    <row r="30" spans="1:5" x14ac:dyDescent="0.2">
      <c r="A30" s="48">
        <f t="shared" si="2"/>
        <v>2044</v>
      </c>
      <c r="B30" s="115">
        <f t="shared" si="2"/>
        <v>21</v>
      </c>
      <c r="C30" s="116">
        <f>'02 - Projeções'!K29/'02 - Projeções'!C29</f>
        <v>0.20096549241628156</v>
      </c>
      <c r="D30" s="116">
        <f t="shared" si="0"/>
        <v>-0.60825440074798909</v>
      </c>
      <c r="E30" s="49">
        <f>('02 - Projeções'!L29-'02 - Projeções'!L28)/'02 - Projeções'!L28</f>
        <v>-1.4666143053053627E-2</v>
      </c>
    </row>
    <row r="31" spans="1:5" x14ac:dyDescent="0.2">
      <c r="A31" s="48">
        <f t="shared" si="2"/>
        <v>2045</v>
      </c>
      <c r="B31" s="115">
        <f t="shared" si="2"/>
        <v>22</v>
      </c>
      <c r="C31" s="116">
        <f>'02 - Projeções'!K30/'02 - Projeções'!C30</f>
        <v>0.19145160129066749</v>
      </c>
      <c r="D31" s="116">
        <f t="shared" si="0"/>
        <v>-0.626799997484079</v>
      </c>
      <c r="E31" s="49">
        <f>('02 - Projeções'!L30-'02 - Projeções'!L29)/'02 - Projeções'!L29</f>
        <v>-1.9468093506129373E-2</v>
      </c>
    </row>
    <row r="32" spans="1:5" x14ac:dyDescent="0.2">
      <c r="A32" s="48">
        <f t="shared" si="2"/>
        <v>2046</v>
      </c>
      <c r="B32" s="115">
        <f t="shared" si="2"/>
        <v>23</v>
      </c>
      <c r="C32" s="116">
        <f>'02 - Projeções'!K31/'02 - Projeções'!C31</f>
        <v>0.18197605630254435</v>
      </c>
      <c r="D32" s="116">
        <f t="shared" si="0"/>
        <v>-0.64527084541414359</v>
      </c>
      <c r="E32" s="49">
        <f>('02 - Projeções'!L31-'02 - Projeções'!L30)/'02 - Projeções'!L30</f>
        <v>-2.433682308683666E-2</v>
      </c>
    </row>
    <row r="33" spans="1:5" x14ac:dyDescent="0.2">
      <c r="A33" s="48">
        <f t="shared" si="2"/>
        <v>2047</v>
      </c>
      <c r="B33" s="115">
        <f t="shared" si="2"/>
        <v>24</v>
      </c>
      <c r="C33" s="116">
        <f>'02 - Projeções'!K32/'02 - Projeções'!C32</f>
        <v>0.17302803700107608</v>
      </c>
      <c r="D33" s="116">
        <f t="shared" si="0"/>
        <v>-0.66271337816554365</v>
      </c>
      <c r="E33" s="49">
        <f>('02 - Projeções'!L32-'02 - Projeções'!L31)/'02 - Projeções'!L31</f>
        <v>-2.9895805806227922E-2</v>
      </c>
    </row>
    <row r="34" spans="1:5" x14ac:dyDescent="0.2">
      <c r="A34" s="48">
        <f t="shared" si="2"/>
        <v>2048</v>
      </c>
      <c r="B34" s="115">
        <f t="shared" si="2"/>
        <v>25</v>
      </c>
      <c r="C34" s="116">
        <f>'02 - Projeções'!K33/'02 - Projeções'!C33</f>
        <v>0.16324045324114053</v>
      </c>
      <c r="D34" s="116">
        <f t="shared" si="0"/>
        <v>-0.68179248880869292</v>
      </c>
      <c r="E34" s="49">
        <f>('02 - Projeções'!L33-'02 - Projeções'!L32)/'02 - Projeções'!L32</f>
        <v>-3.3566434331094533E-2</v>
      </c>
    </row>
    <row r="35" spans="1:5" x14ac:dyDescent="0.2">
      <c r="A35" s="48">
        <f t="shared" si="2"/>
        <v>2049</v>
      </c>
      <c r="B35" s="115">
        <f t="shared" si="2"/>
        <v>26</v>
      </c>
      <c r="C35" s="116">
        <f>'02 - Projeções'!K34/'02 - Projeções'!C34</f>
        <v>0.1522697504116533</v>
      </c>
      <c r="D35" s="116">
        <f t="shared" si="0"/>
        <v>-0.7031778744412216</v>
      </c>
      <c r="E35" s="49">
        <f>('02 - Projeções'!L34-'02 - Projeções'!L33)/'02 - Projeções'!L33</f>
        <v>-3.3446268739094592E-2</v>
      </c>
    </row>
    <row r="36" spans="1:5" x14ac:dyDescent="0.2">
      <c r="A36" s="48">
        <f t="shared" si="2"/>
        <v>2050</v>
      </c>
      <c r="B36" s="115">
        <f>B35+1</f>
        <v>27</v>
      </c>
      <c r="C36" s="116">
        <f>'02 - Projeções'!K35/'02 - Projeções'!C35</f>
        <v>0.14434465456995249</v>
      </c>
      <c r="D36" s="116">
        <f t="shared" si="0"/>
        <v>-0.71862640434707115</v>
      </c>
      <c r="E36" s="49">
        <f>('02 - Projeções'!L35-'02 - Projeções'!L34)/'02 - Projeções'!L34</f>
        <v>-3.8926730051760519E-2</v>
      </c>
    </row>
    <row r="37" spans="1:5" x14ac:dyDescent="0.2">
      <c r="A37" s="48">
        <f t="shared" si="2"/>
        <v>2051</v>
      </c>
      <c r="B37" s="115">
        <f t="shared" si="2"/>
        <v>28</v>
      </c>
      <c r="C37" s="116">
        <f>'02 - Projeções'!K36/'02 - Projeções'!C36</f>
        <v>0.13641434140197745</v>
      </c>
      <c r="D37" s="116">
        <f t="shared" si="0"/>
        <v>-0.7340851044795762</v>
      </c>
      <c r="E37" s="49">
        <f>('02 - Projeções'!L36-'02 - Projeções'!L35)/'02 - Projeções'!L35</f>
        <v>-4.4067573361927501E-2</v>
      </c>
    </row>
    <row r="38" spans="1:5" x14ac:dyDescent="0.2">
      <c r="A38" s="48">
        <f t="shared" si="2"/>
        <v>2052</v>
      </c>
      <c r="B38" s="115">
        <f t="shared" si="2"/>
        <v>29</v>
      </c>
      <c r="C38" s="116">
        <f>'02 - Projeções'!K37/'02 - Projeções'!C37</f>
        <v>0.12921073740834463</v>
      </c>
      <c r="D38" s="116">
        <f t="shared" si="0"/>
        <v>-0.74812721752759326</v>
      </c>
      <c r="E38" s="49">
        <f>('02 - Projeções'!L37-'02 - Projeções'!L36)/'02 - Projeções'!L36</f>
        <v>-5.0959754302665909E-2</v>
      </c>
    </row>
    <row r="39" spans="1:5" x14ac:dyDescent="0.2">
      <c r="A39" s="48">
        <f t="shared" si="2"/>
        <v>2053</v>
      </c>
      <c r="B39" s="115">
        <f t="shared" si="2"/>
        <v>30</v>
      </c>
      <c r="C39" s="116">
        <f>'02 - Projeções'!K38/'02 - Projeções'!C38</f>
        <v>0.12149395104377633</v>
      </c>
      <c r="D39" s="116">
        <f t="shared" si="0"/>
        <v>-0.76316968607451008</v>
      </c>
      <c r="E39" s="49">
        <f>('02 - Projeções'!L38-'02 - Projeções'!L37)/'02 - Projeções'!L37</f>
        <v>-5.5985650492385526E-2</v>
      </c>
    </row>
    <row r="40" spans="1:5" x14ac:dyDescent="0.2">
      <c r="A40" s="48">
        <f t="shared" si="2"/>
        <v>2054</v>
      </c>
      <c r="B40" s="115">
        <f t="shared" si="2"/>
        <v>31</v>
      </c>
      <c r="C40" s="116">
        <f>'02 - Projeções'!K39/'02 - Projeções'!C39</f>
        <v>0.11370708999268078</v>
      </c>
      <c r="D40" s="116">
        <f t="shared" si="0"/>
        <v>-0.77834875245091473</v>
      </c>
      <c r="E40" s="49">
        <f>('02 - Projeções'!L39-'02 - Projeções'!L38)/'02 - Projeções'!L38</f>
        <v>-5.9338315457876267E-2</v>
      </c>
    </row>
    <row r="41" spans="1:5" x14ac:dyDescent="0.2">
      <c r="A41" s="48">
        <f t="shared" si="2"/>
        <v>2055</v>
      </c>
      <c r="B41" s="115">
        <f t="shared" si="2"/>
        <v>32</v>
      </c>
      <c r="C41" s="116">
        <f>'02 - Projeções'!K40/'02 - Projeções'!C40</f>
        <v>0.1069355683573926</v>
      </c>
      <c r="D41" s="116">
        <f t="shared" si="0"/>
        <v>-0.7915485996931918</v>
      </c>
      <c r="E41" s="49">
        <f>('02 - Projeções'!L40-'02 - Projeções'!L39)/'02 - Projeções'!L39</f>
        <v>-6.5279986507245757E-2</v>
      </c>
    </row>
    <row r="42" spans="1:5" x14ac:dyDescent="0.2">
      <c r="A42" s="48">
        <f t="shared" si="2"/>
        <v>2056</v>
      </c>
      <c r="B42" s="115">
        <f t="shared" si="2"/>
        <v>33</v>
      </c>
      <c r="C42" s="116">
        <f>'02 - Projeções'!K41/'02 - Projeções'!C41</f>
        <v>0.10056247707048956</v>
      </c>
      <c r="D42" s="116">
        <f t="shared" si="0"/>
        <v>-0.80397177958968902</v>
      </c>
      <c r="E42" s="49">
        <f>('02 - Projeções'!L41-'02 - Projeções'!L40)/'02 - Projeções'!L40</f>
        <v>-7.2076448149575312E-2</v>
      </c>
    </row>
    <row r="43" spans="1:5" x14ac:dyDescent="0.2">
      <c r="A43" s="48">
        <f>A42+1</f>
        <v>2057</v>
      </c>
      <c r="B43" s="115">
        <f>B42+1</f>
        <v>34</v>
      </c>
      <c r="C43" s="116">
        <f>'02 - Projeções'!K42/'02 - Projeções'!C42</f>
        <v>9.4531295799243464E-2</v>
      </c>
      <c r="D43" s="116">
        <f t="shared" si="0"/>
        <v>-0.81572846822759559</v>
      </c>
      <c r="E43" s="49">
        <f>('02 - Projeções'!L42-'02 - Projeções'!L41)/'02 - Projeções'!L41</f>
        <v>-7.9994900593748156E-2</v>
      </c>
    </row>
    <row r="44" spans="1:5" ht="17.25" thickBot="1" x14ac:dyDescent="0.25">
      <c r="A44" s="117">
        <f>A43+1</f>
        <v>2058</v>
      </c>
      <c r="B44" s="118">
        <f>B43+1</f>
        <v>35</v>
      </c>
      <c r="C44" s="119">
        <f>'02 - Projeções'!K43/'02 - Projeções'!C43</f>
        <v>8.8822825138891268E-2</v>
      </c>
      <c r="D44" s="119">
        <f t="shared" si="0"/>
        <v>-0.82685609134719051</v>
      </c>
      <c r="E44" s="120">
        <f>('02 - Projeções'!L43-'02 - Projeções'!L42)/'02 - Projeções'!L42</f>
        <v>-8.915355536720182E-2</v>
      </c>
    </row>
    <row r="45" spans="1:5" x14ac:dyDescent="0.2"/>
    <row r="81" spans="3:4" s="50" customFormat="1" hidden="1" x14ac:dyDescent="0.2">
      <c r="C81" s="44"/>
      <c r="D81" s="44"/>
    </row>
  </sheetData>
  <sheetProtection algorithmName="SHA-512" hashValue="JzbOpBRZJJStm2XH318hewzgekSqHFlWvT5I4ndTMv3K2YuMACezjBl60OU86drW1HzrGUYHodw2hKBJWUDiww==" saltValue="CetaHi9p+PmO8PNtitFYUA==" spinCount="100000" sheet="1" objects="1" scenarios="1"/>
  <autoFilter ref="A8:I44" xr:uid="{00000000-0001-0000-0400-000000000000}"/>
  <mergeCells count="2">
    <mergeCell ref="A4:B4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294D1D04AB3F40BFD9C760B69787E7" ma:contentTypeVersion="18" ma:contentTypeDescription="Crie um novo documento." ma:contentTypeScope="" ma:versionID="2cd4e664b577e3c9b2990ceb9847a59d">
  <xsd:schema xmlns:xsd="http://www.w3.org/2001/XMLSchema" xmlns:xs="http://www.w3.org/2001/XMLSchema" xmlns:p="http://schemas.microsoft.com/office/2006/metadata/properties" xmlns:ns2="9569e863-627b-4c25-a4f9-c690b161ff6d" xmlns:ns3="1d1129b8-0169-49ac-bc0c-a74a2b100e41" targetNamespace="http://schemas.microsoft.com/office/2006/metadata/properties" ma:root="true" ma:fieldsID="2cef9e000abdeba5233f3b09fba33802" ns2:_="" ns3:_="">
    <xsd:import namespace="9569e863-627b-4c25-a4f9-c690b161ff6d"/>
    <xsd:import namespace="1d1129b8-0169-49ac-bc0c-a74a2b100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9e863-627b-4c25-a4f9-c690b161ff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f8662904-d834-4b1d-a529-0f6fb18e49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129b8-0169-49ac-bc0c-a74a2b100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d326cac-8bba-4490-85b7-df484ca6b8b7}" ma:internalName="TaxCatchAll" ma:showField="CatchAllData" ma:web="1d1129b8-0169-49ac-bc0c-a74a2b100e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4989A1-6125-488F-809F-876481882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69e863-627b-4c25-a4f9-c690b161ff6d"/>
    <ds:schemaRef ds:uri="1d1129b8-0169-49ac-bc0c-a74a2b100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711046-05C7-4721-BB3C-D65995BF2D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66546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Fluxo e Duração do Passivo</vt:lpstr>
      <vt:lpstr>Anexo 1 - Despesa com Pessoal </vt:lpstr>
      <vt:lpstr>01- Histórico</vt:lpstr>
      <vt:lpstr>02 - Projeções</vt:lpstr>
      <vt:lpstr>03 - Indicadores </vt:lpstr>
      <vt:lpstr>'01- Histórico'!Area_de_impressao</vt:lpstr>
      <vt:lpstr>'02 - Projeções'!Area_de_impressao</vt:lpstr>
      <vt:lpstr>'01- Histórico'!Titulos_de_impressao</vt:lpstr>
      <vt:lpstr>'02 - Projeções'!Titulos_de_impressao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ROSELI FABRIS DALLA COSTA</cp:lastModifiedBy>
  <dcterms:created xsi:type="dcterms:W3CDTF">2015-01-12T14:28:52Z</dcterms:created>
  <dcterms:modified xsi:type="dcterms:W3CDTF">2024-04-09T13:12:31Z</dcterms:modified>
</cp:coreProperties>
</file>